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8.xml" ContentType="application/vnd.openxmlformats-officedocument.drawing+xml"/>
  <Override PartName="/xl/charts/chart47.xml" ContentType="application/vnd.openxmlformats-officedocument.drawingml.chart+xml"/>
  <Override PartName="/xl/drawings/drawing9.xml" ContentType="application/vnd.openxmlformats-officedocument.drawing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5" yWindow="-15" windowWidth="12600" windowHeight="11760" tabRatio="684"/>
  </bookViews>
  <sheets>
    <sheet name="RESUME" sheetId="81" r:id="rId1"/>
    <sheet name="Générale" sheetId="49" r:id="rId2"/>
    <sheet name="PAX AJA TL+NI" sheetId="63" r:id="rId3"/>
    <sheet name="ROLL+VL AJA TL+NI " sheetId="74" r:id="rId4"/>
    <sheet name="PAX BAS TL+NI" sheetId="65" r:id="rId5"/>
    <sheet name="ROLL+VL BAS TL+NI" sheetId="76" r:id="rId6"/>
    <sheet name="PAX ILR TL+NI" sheetId="67" r:id="rId7"/>
    <sheet name="ROLL+VL ILR TL+NI" sheetId="77" r:id="rId8"/>
    <sheet name="PAX PVE TL+NI" sheetId="69" r:id="rId9"/>
    <sheet name="ROLL+VL PVE TL+NI " sheetId="80" r:id="rId10"/>
    <sheet name="PAX PRO TL" sheetId="50" r:id="rId11"/>
    <sheet name="ROLL PRO TL+NI" sheetId="73" r:id="rId12"/>
    <sheet name="Navires" sheetId="23" r:id="rId13"/>
    <sheet name="AJACCIO 2014" sheetId="26" r:id="rId14"/>
    <sheet name="BASTIA 2014" sheetId="32" r:id="rId15"/>
    <sheet name="ILE ROUSSE 2014" sheetId="33" r:id="rId16"/>
    <sheet name="CALVI 2014" sheetId="34" r:id="rId17"/>
    <sheet name="PORTO VECCHIO 2014" sheetId="56" r:id="rId18"/>
    <sheet name="AJACCIO 2015" sheetId="35" r:id="rId19"/>
    <sheet name="BASTIA 2015" sheetId="36" r:id="rId20"/>
    <sheet name="ILE ROUSSE 2015" sheetId="37" r:id="rId21"/>
    <sheet name="CALVI 2015" sheetId="38" r:id="rId22"/>
    <sheet name="AJACCIO 2016" sheetId="39" r:id="rId23"/>
    <sheet name="BASTIA 2016" sheetId="40" r:id="rId24"/>
    <sheet name="ILE ROUSSE 2016" sheetId="41" r:id="rId25"/>
    <sheet name="CALVI 2016" sheetId="42" r:id="rId26"/>
    <sheet name="PORTO VECCHIO 2016" sheetId="47" r:id="rId27"/>
    <sheet name="AJACCIO 2017" sheetId="43" r:id="rId28"/>
    <sheet name="BASTIA 2017" sheetId="44" r:id="rId29"/>
    <sheet name="ILE ROUSSE 2017" sheetId="45" r:id="rId30"/>
    <sheet name="PORTO VECCHIO 2017" sheetId="48" r:id="rId31"/>
  </sheets>
  <calcPr calcId="171027"/>
</workbook>
</file>

<file path=xl/calcChain.xml><?xml version="1.0" encoding="utf-8"?>
<calcChain xmlns="http://schemas.openxmlformats.org/spreadsheetml/2006/main">
  <c r="X175" i="81" l="1"/>
  <c r="X174" i="81"/>
  <c r="X159" i="81"/>
  <c r="W159" i="81" s="1"/>
  <c r="X158" i="81"/>
  <c r="W158" i="81" s="1"/>
  <c r="AD191" i="81"/>
  <c r="AC191" i="81" s="1"/>
  <c r="AD190" i="81"/>
  <c r="AC190" i="81" s="1"/>
  <c r="AC192" i="81" s="1"/>
  <c r="X191" i="81"/>
  <c r="W191" i="81" s="1"/>
  <c r="X190" i="81"/>
  <c r="W190" i="81" s="1"/>
  <c r="W192" i="81" s="1"/>
  <c r="R191" i="81"/>
  <c r="Q191" i="81" s="1"/>
  <c r="R190" i="81"/>
  <c r="Q190" i="81" s="1"/>
  <c r="Q192" i="81" s="1"/>
  <c r="L191" i="81"/>
  <c r="K191" i="81" s="1"/>
  <c r="L190" i="81"/>
  <c r="K190" i="81" s="1"/>
  <c r="F191" i="81"/>
  <c r="E191" i="81"/>
  <c r="F190" i="81"/>
  <c r="E190" i="81" s="1"/>
  <c r="E192" i="81" s="1"/>
  <c r="F175" i="81"/>
  <c r="E175" i="81" s="1"/>
  <c r="F174" i="81"/>
  <c r="E174" i="81" s="1"/>
  <c r="E176" i="81" s="1"/>
  <c r="L175" i="81"/>
  <c r="K175" i="81" s="1"/>
  <c r="L174" i="81"/>
  <c r="K174" i="81"/>
  <c r="R175" i="81"/>
  <c r="Q175" i="81" s="1"/>
  <c r="R174" i="81"/>
  <c r="Q174" i="81" s="1"/>
  <c r="Q176" i="81" s="1"/>
  <c r="W175" i="81"/>
  <c r="W174" i="81"/>
  <c r="W176" i="81" s="1"/>
  <c r="AD175" i="81"/>
  <c r="AC175" i="81" s="1"/>
  <c r="AD174" i="81"/>
  <c r="AC174" i="81" s="1"/>
  <c r="AC176" i="81" s="1"/>
  <c r="AD159" i="81"/>
  <c r="AC159" i="81" s="1"/>
  <c r="AD158" i="81"/>
  <c r="AC158" i="81"/>
  <c r="R159" i="81"/>
  <c r="Q159" i="81" s="1"/>
  <c r="R158" i="81"/>
  <c r="Q158" i="81" s="1"/>
  <c r="Q160" i="81" s="1"/>
  <c r="L159" i="81"/>
  <c r="K159" i="81" s="1"/>
  <c r="L158" i="81"/>
  <c r="K158" i="81" s="1"/>
  <c r="K160" i="81" s="1"/>
  <c r="E159" i="81"/>
  <c r="E158" i="81"/>
  <c r="F159" i="81"/>
  <c r="F158" i="81"/>
  <c r="W160" i="81" l="1"/>
  <c r="K192" i="81"/>
  <c r="K176" i="81"/>
  <c r="AC160" i="81"/>
  <c r="E160" i="81"/>
  <c r="Q69" i="81" l="1"/>
  <c r="P69" i="81"/>
  <c r="O69" i="81"/>
  <c r="N69" i="81"/>
  <c r="P6" i="23" l="1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Y162" i="81" l="1"/>
  <c r="Z163" i="81"/>
  <c r="AA163" i="81"/>
  <c r="AB163" i="81"/>
  <c r="AC163" i="81"/>
  <c r="Y164" i="81"/>
  <c r="Z164" i="81"/>
  <c r="AC164" i="81"/>
  <c r="Y165" i="81"/>
  <c r="AB165" i="81"/>
  <c r="AC165" i="81"/>
  <c r="Y166" i="81"/>
  <c r="AA166" i="81"/>
  <c r="AB166" i="81"/>
  <c r="Y167" i="81"/>
  <c r="AA167" i="81"/>
  <c r="Y168" i="81"/>
  <c r="Y169" i="81"/>
  <c r="AB169" i="81"/>
  <c r="AC169" i="81"/>
  <c r="Y170" i="81"/>
  <c r="AA170" i="81"/>
  <c r="AB170" i="81"/>
  <c r="Y171" i="81"/>
  <c r="AA171" i="81"/>
  <c r="Y172" i="81"/>
  <c r="Y173" i="81"/>
  <c r="AB173" i="81"/>
  <c r="AC173" i="81"/>
  <c r="Y174" i="81"/>
  <c r="AA174" i="81"/>
  <c r="AB174" i="81"/>
  <c r="Y175" i="81"/>
  <c r="Y176" i="81"/>
  <c r="AD59" i="73"/>
  <c r="Z165" i="81" s="1"/>
  <c r="AE59" i="73"/>
  <c r="AA165" i="81" s="1"/>
  <c r="AF59" i="73"/>
  <c r="AG59" i="73"/>
  <c r="AG70" i="73" s="1"/>
  <c r="AP148" i="81" s="1"/>
  <c r="AD60" i="73"/>
  <c r="Z166" i="81" s="1"/>
  <c r="AE60" i="73"/>
  <c r="AF60" i="73"/>
  <c r="AG60" i="73"/>
  <c r="AC166" i="81" s="1"/>
  <c r="AD61" i="73"/>
  <c r="Z167" i="81" s="1"/>
  <c r="AE61" i="73"/>
  <c r="AF61" i="73"/>
  <c r="AB167" i="81" s="1"/>
  <c r="AG61" i="73"/>
  <c r="AC167" i="81" s="1"/>
  <c r="AD62" i="73"/>
  <c r="Z168" i="81" s="1"/>
  <c r="AE62" i="73"/>
  <c r="AA168" i="81" s="1"/>
  <c r="AF62" i="73"/>
  <c r="AB168" i="81" s="1"/>
  <c r="AG62" i="73"/>
  <c r="AC168" i="81" s="1"/>
  <c r="AD63" i="73"/>
  <c r="Z169" i="81" s="1"/>
  <c r="AE63" i="73"/>
  <c r="AA169" i="81" s="1"/>
  <c r="AF63" i="73"/>
  <c r="AG63" i="73"/>
  <c r="AD64" i="73"/>
  <c r="Z170" i="81" s="1"/>
  <c r="AE64" i="73"/>
  <c r="AF64" i="73"/>
  <c r="AG64" i="73"/>
  <c r="AC170" i="81" s="1"/>
  <c r="AD65" i="73"/>
  <c r="Z171" i="81" s="1"/>
  <c r="AE65" i="73"/>
  <c r="AF65" i="73"/>
  <c r="AB171" i="81" s="1"/>
  <c r="AG65" i="73"/>
  <c r="AC171" i="81" s="1"/>
  <c r="AD66" i="73"/>
  <c r="Z172" i="81" s="1"/>
  <c r="AE66" i="73"/>
  <c r="AA172" i="81" s="1"/>
  <c r="AF66" i="73"/>
  <c r="AB172" i="81" s="1"/>
  <c r="AG66" i="73"/>
  <c r="AC172" i="81" s="1"/>
  <c r="AD67" i="73"/>
  <c r="Z173" i="81" s="1"/>
  <c r="AE67" i="73"/>
  <c r="AA173" i="81" s="1"/>
  <c r="AF67" i="73"/>
  <c r="AG67" i="73"/>
  <c r="AD68" i="73"/>
  <c r="Z174" i="81" s="1"/>
  <c r="AE68" i="73"/>
  <c r="AF68" i="73"/>
  <c r="AD69" i="73"/>
  <c r="Z175" i="81" s="1"/>
  <c r="AE69" i="73"/>
  <c r="AE70" i="73" s="1"/>
  <c r="AA176" i="81" s="1"/>
  <c r="AF69" i="73"/>
  <c r="AB175" i="81" s="1"/>
  <c r="AG58" i="73"/>
  <c r="AE58" i="73"/>
  <c r="AA164" i="81" s="1"/>
  <c r="AF58" i="73"/>
  <c r="AB164" i="81" s="1"/>
  <c r="AD58" i="73"/>
  <c r="AA175" i="81" l="1"/>
  <c r="AF70" i="73"/>
  <c r="AB176" i="81" s="1"/>
  <c r="AD70" i="73"/>
  <c r="Z176" i="81" s="1"/>
  <c r="Y178" i="81" l="1"/>
  <c r="Z179" i="81"/>
  <c r="AA179" i="81"/>
  <c r="AB179" i="81"/>
  <c r="AC179" i="81"/>
  <c r="Y180" i="81"/>
  <c r="Y181" i="81"/>
  <c r="Y182" i="81"/>
  <c r="Y183" i="81"/>
  <c r="Y184" i="81"/>
  <c r="Y185" i="81"/>
  <c r="Y186" i="81"/>
  <c r="Y187" i="81"/>
  <c r="Y188" i="81"/>
  <c r="Y189" i="81"/>
  <c r="Y190" i="81"/>
  <c r="Y191" i="81"/>
  <c r="Y192" i="81"/>
  <c r="Y146" i="81"/>
  <c r="Z147" i="81"/>
  <c r="AA147" i="81"/>
  <c r="AB147" i="81"/>
  <c r="AC147" i="81"/>
  <c r="Y148" i="81"/>
  <c r="Y149" i="81"/>
  <c r="Y150" i="81"/>
  <c r="Y151" i="81"/>
  <c r="Y152" i="81"/>
  <c r="Y153" i="81"/>
  <c r="Y154" i="81"/>
  <c r="Y155" i="81"/>
  <c r="Y156" i="81"/>
  <c r="Y157" i="81"/>
  <c r="Y158" i="81"/>
  <c r="Y159" i="81"/>
  <c r="Y160" i="81"/>
  <c r="S178" i="81"/>
  <c r="T179" i="81"/>
  <c r="U179" i="81"/>
  <c r="V179" i="81"/>
  <c r="W179" i="81"/>
  <c r="S180" i="81"/>
  <c r="S181" i="81"/>
  <c r="S182" i="81"/>
  <c r="S183" i="81"/>
  <c r="S184" i="81"/>
  <c r="S185" i="81"/>
  <c r="S186" i="81"/>
  <c r="S187" i="81"/>
  <c r="S188" i="81"/>
  <c r="S189" i="81"/>
  <c r="S190" i="81"/>
  <c r="S191" i="81"/>
  <c r="S192" i="81"/>
  <c r="S162" i="81"/>
  <c r="T163" i="81"/>
  <c r="U163" i="81"/>
  <c r="V163" i="81"/>
  <c r="W163" i="81"/>
  <c r="S164" i="81"/>
  <c r="S165" i="81"/>
  <c r="S166" i="81"/>
  <c r="S167" i="81"/>
  <c r="S168" i="81"/>
  <c r="S169" i="81"/>
  <c r="S170" i="81"/>
  <c r="S171" i="81"/>
  <c r="S172" i="81"/>
  <c r="S173" i="81"/>
  <c r="S174" i="81"/>
  <c r="S175" i="81"/>
  <c r="S176" i="81"/>
  <c r="S146" i="81"/>
  <c r="T147" i="81"/>
  <c r="U147" i="81"/>
  <c r="V147" i="81"/>
  <c r="W147" i="81"/>
  <c r="S148" i="81"/>
  <c r="S149" i="81"/>
  <c r="S150" i="81"/>
  <c r="S151" i="81"/>
  <c r="S152" i="81"/>
  <c r="S153" i="81"/>
  <c r="S154" i="81"/>
  <c r="S155" i="81"/>
  <c r="S156" i="81"/>
  <c r="S157" i="81"/>
  <c r="S158" i="81"/>
  <c r="S159" i="81"/>
  <c r="S160" i="81"/>
  <c r="M178" i="81"/>
  <c r="N179" i="81"/>
  <c r="O179" i="81"/>
  <c r="P179" i="81"/>
  <c r="Q179" i="81"/>
  <c r="M180" i="81"/>
  <c r="M181" i="81"/>
  <c r="M182" i="81"/>
  <c r="M183" i="81"/>
  <c r="M184" i="81"/>
  <c r="M185" i="81"/>
  <c r="M186" i="81"/>
  <c r="M187" i="81"/>
  <c r="M188" i="81"/>
  <c r="M189" i="81"/>
  <c r="M190" i="81"/>
  <c r="M191" i="81"/>
  <c r="M192" i="81"/>
  <c r="M162" i="81"/>
  <c r="N163" i="81"/>
  <c r="O163" i="81"/>
  <c r="P163" i="81"/>
  <c r="Q163" i="81"/>
  <c r="M164" i="81"/>
  <c r="M165" i="81"/>
  <c r="M166" i="81"/>
  <c r="M167" i="81"/>
  <c r="M168" i="81"/>
  <c r="M169" i="81"/>
  <c r="M170" i="81"/>
  <c r="M171" i="81"/>
  <c r="M172" i="81"/>
  <c r="M173" i="81"/>
  <c r="M174" i="81"/>
  <c r="M175" i="81"/>
  <c r="M176" i="81"/>
  <c r="M146" i="81"/>
  <c r="N147" i="81"/>
  <c r="O147" i="81"/>
  <c r="P147" i="81"/>
  <c r="Q147" i="81"/>
  <c r="M148" i="81"/>
  <c r="M149" i="81"/>
  <c r="M150" i="81"/>
  <c r="M151" i="81"/>
  <c r="M152" i="81"/>
  <c r="M153" i="81"/>
  <c r="M154" i="81"/>
  <c r="M155" i="81"/>
  <c r="M156" i="81"/>
  <c r="M157" i="81"/>
  <c r="M158" i="81"/>
  <c r="M159" i="81"/>
  <c r="M160" i="81"/>
  <c r="G178" i="81"/>
  <c r="H179" i="81"/>
  <c r="I179" i="81"/>
  <c r="J179" i="81"/>
  <c r="K179" i="81"/>
  <c r="G180" i="81"/>
  <c r="G181" i="81"/>
  <c r="G182" i="81"/>
  <c r="G183" i="81"/>
  <c r="G184" i="81"/>
  <c r="G185" i="81"/>
  <c r="G186" i="81"/>
  <c r="G187" i="81"/>
  <c r="G188" i="81"/>
  <c r="G189" i="81"/>
  <c r="G190" i="81"/>
  <c r="G191" i="81"/>
  <c r="G192" i="81"/>
  <c r="G162" i="81"/>
  <c r="H163" i="81"/>
  <c r="I163" i="81"/>
  <c r="J163" i="81"/>
  <c r="K163" i="81"/>
  <c r="G164" i="81"/>
  <c r="G165" i="81"/>
  <c r="G166" i="81"/>
  <c r="G167" i="81"/>
  <c r="G168" i="81"/>
  <c r="G169" i="81"/>
  <c r="G170" i="81"/>
  <c r="G171" i="81"/>
  <c r="G172" i="81"/>
  <c r="G173" i="81"/>
  <c r="G174" i="81"/>
  <c r="G175" i="81"/>
  <c r="G176" i="81"/>
  <c r="G146" i="81"/>
  <c r="H147" i="81"/>
  <c r="I147" i="81"/>
  <c r="J147" i="81"/>
  <c r="K147" i="81"/>
  <c r="G148" i="81"/>
  <c r="G149" i="81"/>
  <c r="G150" i="81"/>
  <c r="G151" i="81"/>
  <c r="G152" i="81"/>
  <c r="G153" i="81"/>
  <c r="G154" i="81"/>
  <c r="G155" i="81"/>
  <c r="G156" i="81"/>
  <c r="G157" i="81"/>
  <c r="G158" i="81"/>
  <c r="G159" i="81"/>
  <c r="G160" i="81"/>
  <c r="A178" i="81"/>
  <c r="B179" i="81"/>
  <c r="C179" i="81"/>
  <c r="D179" i="81"/>
  <c r="E179" i="81"/>
  <c r="A180" i="81"/>
  <c r="A181" i="81"/>
  <c r="A182" i="81"/>
  <c r="A183" i="81"/>
  <c r="A184" i="81"/>
  <c r="A185" i="81"/>
  <c r="A186" i="81"/>
  <c r="A187" i="81"/>
  <c r="A188" i="81"/>
  <c r="A189" i="81"/>
  <c r="A190" i="81"/>
  <c r="A191" i="81"/>
  <c r="A192" i="81"/>
  <c r="A162" i="81"/>
  <c r="B163" i="81"/>
  <c r="C163" i="81"/>
  <c r="D163" i="81"/>
  <c r="E163" i="81"/>
  <c r="A164" i="81"/>
  <c r="A165" i="81"/>
  <c r="A166" i="81"/>
  <c r="A167" i="81"/>
  <c r="A168" i="81"/>
  <c r="A169" i="81"/>
  <c r="A170" i="81"/>
  <c r="A171" i="81"/>
  <c r="A172" i="81"/>
  <c r="A173" i="81"/>
  <c r="A174" i="81"/>
  <c r="A175" i="81"/>
  <c r="A176" i="81"/>
  <c r="A146" i="81"/>
  <c r="B147" i="81"/>
  <c r="C147" i="81"/>
  <c r="D147" i="81"/>
  <c r="E147" i="81"/>
  <c r="A148" i="81"/>
  <c r="A149" i="81"/>
  <c r="A150" i="81"/>
  <c r="A151" i="81"/>
  <c r="A152" i="81"/>
  <c r="A153" i="81"/>
  <c r="A154" i="81"/>
  <c r="A155" i="81"/>
  <c r="A156" i="81"/>
  <c r="A157" i="81"/>
  <c r="A158" i="81"/>
  <c r="AJ158" i="81"/>
  <c r="A159" i="81"/>
  <c r="AJ159" i="81"/>
  <c r="A160" i="81"/>
  <c r="S125" i="81"/>
  <c r="T126" i="81"/>
  <c r="U126" i="81"/>
  <c r="V126" i="81"/>
  <c r="W126" i="81"/>
  <c r="S127" i="81"/>
  <c r="T127" i="81"/>
  <c r="U127" i="81"/>
  <c r="S128" i="81"/>
  <c r="U128" i="81"/>
  <c r="V128" i="81"/>
  <c r="W128" i="81"/>
  <c r="S129" i="81"/>
  <c r="T129" i="81"/>
  <c r="U129" i="81"/>
  <c r="V129" i="81"/>
  <c r="W129" i="81"/>
  <c r="S130" i="81"/>
  <c r="T130" i="81"/>
  <c r="U130" i="81"/>
  <c r="V130" i="81"/>
  <c r="S131" i="81"/>
  <c r="T131" i="81"/>
  <c r="U131" i="81"/>
  <c r="V131" i="81"/>
  <c r="S132" i="81"/>
  <c r="T132" i="81"/>
  <c r="U132" i="81"/>
  <c r="S133" i="81"/>
  <c r="T133" i="81"/>
  <c r="U133" i="81"/>
  <c r="S134" i="81"/>
  <c r="T134" i="81"/>
  <c r="U134" i="81"/>
  <c r="S135" i="81"/>
  <c r="T135" i="81"/>
  <c r="U135" i="81"/>
  <c r="S136" i="81"/>
  <c r="T136" i="81"/>
  <c r="U136" i="81"/>
  <c r="S137" i="81"/>
  <c r="T137" i="81"/>
  <c r="U137" i="81"/>
  <c r="W137" i="81"/>
  <c r="S138" i="81"/>
  <c r="T138" i="81"/>
  <c r="U138" i="81"/>
  <c r="W138" i="81"/>
  <c r="S139" i="81"/>
  <c r="U139" i="81"/>
  <c r="W139" i="81"/>
  <c r="S109" i="81"/>
  <c r="T110" i="81"/>
  <c r="U110" i="81"/>
  <c r="V110" i="81"/>
  <c r="W110" i="81"/>
  <c r="S111" i="81"/>
  <c r="T111" i="81"/>
  <c r="U111" i="81"/>
  <c r="S112" i="81"/>
  <c r="U112" i="81"/>
  <c r="V112" i="81"/>
  <c r="W112" i="81"/>
  <c r="S113" i="81"/>
  <c r="T113" i="81"/>
  <c r="U113" i="81"/>
  <c r="V113" i="81"/>
  <c r="W113" i="81"/>
  <c r="S114" i="81"/>
  <c r="T114" i="81"/>
  <c r="U114" i="81"/>
  <c r="V114" i="81"/>
  <c r="S115" i="81"/>
  <c r="T115" i="81"/>
  <c r="U115" i="81"/>
  <c r="V115" i="81"/>
  <c r="S116" i="81"/>
  <c r="T116" i="81"/>
  <c r="U116" i="81"/>
  <c r="S117" i="81"/>
  <c r="T117" i="81"/>
  <c r="U117" i="81"/>
  <c r="S118" i="81"/>
  <c r="T118" i="81"/>
  <c r="U118" i="81"/>
  <c r="S119" i="81"/>
  <c r="T119" i="81"/>
  <c r="U119" i="81"/>
  <c r="S120" i="81"/>
  <c r="T120" i="81"/>
  <c r="U120" i="81"/>
  <c r="S121" i="81"/>
  <c r="T121" i="81"/>
  <c r="U121" i="81"/>
  <c r="S122" i="81"/>
  <c r="T122" i="81"/>
  <c r="U122" i="81"/>
  <c r="S123" i="81"/>
  <c r="U123" i="81"/>
  <c r="S93" i="81"/>
  <c r="T94" i="81"/>
  <c r="U94" i="81"/>
  <c r="V94" i="81"/>
  <c r="W94" i="81"/>
  <c r="S95" i="81"/>
  <c r="T95" i="81"/>
  <c r="U95" i="81"/>
  <c r="S96" i="81"/>
  <c r="U96" i="81"/>
  <c r="V96" i="81"/>
  <c r="W96" i="81"/>
  <c r="S97" i="81"/>
  <c r="T97" i="81"/>
  <c r="U97" i="81"/>
  <c r="V97" i="81"/>
  <c r="W97" i="81"/>
  <c r="S98" i="81"/>
  <c r="T98" i="81"/>
  <c r="U98" i="81"/>
  <c r="V98" i="81"/>
  <c r="S99" i="81"/>
  <c r="T99" i="81"/>
  <c r="U99" i="81"/>
  <c r="V99" i="81"/>
  <c r="S100" i="81"/>
  <c r="T100" i="81"/>
  <c r="U100" i="81"/>
  <c r="S101" i="81"/>
  <c r="T101" i="81"/>
  <c r="U101" i="81"/>
  <c r="S102" i="81"/>
  <c r="T102" i="81"/>
  <c r="U102" i="81"/>
  <c r="S103" i="81"/>
  <c r="T103" i="81"/>
  <c r="U103" i="81"/>
  <c r="S104" i="81"/>
  <c r="T104" i="81"/>
  <c r="U104" i="81"/>
  <c r="S105" i="81"/>
  <c r="T105" i="81"/>
  <c r="U105" i="81"/>
  <c r="W105" i="81"/>
  <c r="S106" i="81"/>
  <c r="T106" i="81"/>
  <c r="U106" i="81"/>
  <c r="W106" i="81"/>
  <c r="S107" i="81"/>
  <c r="U107" i="81"/>
  <c r="M125" i="81"/>
  <c r="N126" i="81"/>
  <c r="O126" i="81"/>
  <c r="P126" i="81"/>
  <c r="Q126" i="81"/>
  <c r="M127" i="81"/>
  <c r="M128" i="81"/>
  <c r="M129" i="81"/>
  <c r="M130" i="81"/>
  <c r="M131" i="81"/>
  <c r="M132" i="81"/>
  <c r="M133" i="81"/>
  <c r="M134" i="81"/>
  <c r="M135" i="81"/>
  <c r="M136" i="81"/>
  <c r="M137" i="81"/>
  <c r="Q137" i="81"/>
  <c r="M138" i="81"/>
  <c r="Q138" i="81"/>
  <c r="M139" i="81"/>
  <c r="M123" i="81"/>
  <c r="Q122" i="81"/>
  <c r="O122" i="81"/>
  <c r="M122" i="81"/>
  <c r="Q121" i="81"/>
  <c r="P121" i="81"/>
  <c r="O121" i="81"/>
  <c r="M121" i="81"/>
  <c r="M120" i="81"/>
  <c r="M119" i="81"/>
  <c r="M118" i="81"/>
  <c r="M117" i="81"/>
  <c r="M116" i="81"/>
  <c r="M115" i="81"/>
  <c r="M114" i="81"/>
  <c r="Q113" i="81"/>
  <c r="P113" i="81"/>
  <c r="N113" i="81"/>
  <c r="M113" i="81"/>
  <c r="P112" i="81"/>
  <c r="M112" i="81"/>
  <c r="P111" i="81"/>
  <c r="N111" i="81"/>
  <c r="M111" i="81"/>
  <c r="Q110" i="81"/>
  <c r="P110" i="81"/>
  <c r="O110" i="81"/>
  <c r="N110" i="81"/>
  <c r="M109" i="81"/>
  <c r="M93" i="81"/>
  <c r="N94" i="81"/>
  <c r="O94" i="81"/>
  <c r="P94" i="81"/>
  <c r="Q94" i="81"/>
  <c r="M95" i="81"/>
  <c r="N95" i="81"/>
  <c r="P95" i="81"/>
  <c r="M96" i="81"/>
  <c r="P96" i="81"/>
  <c r="M97" i="81"/>
  <c r="N97" i="81"/>
  <c r="P97" i="81"/>
  <c r="Q97" i="81"/>
  <c r="M98" i="81"/>
  <c r="M99" i="81"/>
  <c r="M100" i="81"/>
  <c r="M101" i="81"/>
  <c r="M102" i="81"/>
  <c r="M103" i="81"/>
  <c r="M104" i="81"/>
  <c r="M105" i="81"/>
  <c r="O105" i="81"/>
  <c r="P105" i="81"/>
  <c r="Q105" i="81"/>
  <c r="M106" i="81"/>
  <c r="O106" i="81"/>
  <c r="Q106" i="81"/>
  <c r="M107" i="81"/>
  <c r="G125" i="81"/>
  <c r="H126" i="81"/>
  <c r="I126" i="81"/>
  <c r="J126" i="81"/>
  <c r="K126" i="81"/>
  <c r="G127" i="81"/>
  <c r="G128" i="81"/>
  <c r="G129" i="81"/>
  <c r="G130" i="81"/>
  <c r="G131" i="81"/>
  <c r="G132" i="81"/>
  <c r="G133" i="81"/>
  <c r="G134" i="81"/>
  <c r="G135" i="81"/>
  <c r="G136" i="81"/>
  <c r="G137" i="81"/>
  <c r="K137" i="81"/>
  <c r="G138" i="81"/>
  <c r="K138" i="81"/>
  <c r="G139" i="81"/>
  <c r="G109" i="81"/>
  <c r="H110" i="81"/>
  <c r="I110" i="81"/>
  <c r="J110" i="81"/>
  <c r="K110" i="81"/>
  <c r="G111" i="81"/>
  <c r="G112" i="81"/>
  <c r="G113" i="81"/>
  <c r="G114" i="81"/>
  <c r="G115" i="81"/>
  <c r="G116" i="81"/>
  <c r="G117" i="81"/>
  <c r="G118" i="81"/>
  <c r="G119" i="81"/>
  <c r="G120" i="81"/>
  <c r="G121" i="81"/>
  <c r="K121" i="81"/>
  <c r="G122" i="81"/>
  <c r="K122" i="81"/>
  <c r="G123" i="81"/>
  <c r="G93" i="81"/>
  <c r="H94" i="81"/>
  <c r="I94" i="81"/>
  <c r="J94" i="81"/>
  <c r="K94" i="81"/>
  <c r="G95" i="81"/>
  <c r="G96" i="81"/>
  <c r="G97" i="81"/>
  <c r="G98" i="81"/>
  <c r="G99" i="81"/>
  <c r="G100" i="81"/>
  <c r="G101" i="81"/>
  <c r="G102" i="81"/>
  <c r="G103" i="81"/>
  <c r="G104" i="81"/>
  <c r="G105" i="81"/>
  <c r="K105" i="81"/>
  <c r="G106" i="81"/>
  <c r="K106" i="81"/>
  <c r="G107" i="81"/>
  <c r="A125" i="81"/>
  <c r="B126" i="81"/>
  <c r="C126" i="81"/>
  <c r="D126" i="81"/>
  <c r="E126" i="81"/>
  <c r="A127" i="81"/>
  <c r="A128" i="81"/>
  <c r="A129" i="81"/>
  <c r="A130" i="81"/>
  <c r="A131" i="81"/>
  <c r="A132" i="81"/>
  <c r="A133" i="81"/>
  <c r="A134" i="81"/>
  <c r="A135" i="81"/>
  <c r="A136" i="81"/>
  <c r="A137" i="81"/>
  <c r="E137" i="81"/>
  <c r="A138" i="81"/>
  <c r="E138" i="81"/>
  <c r="A139" i="81"/>
  <c r="A109" i="81"/>
  <c r="B110" i="81"/>
  <c r="C110" i="81"/>
  <c r="D110" i="81"/>
  <c r="E110" i="81"/>
  <c r="A111" i="81"/>
  <c r="A112" i="81"/>
  <c r="A113" i="81"/>
  <c r="A114" i="81"/>
  <c r="A115" i="81"/>
  <c r="A116" i="81"/>
  <c r="A117" i="81"/>
  <c r="A118" i="81"/>
  <c r="A119" i="81"/>
  <c r="A120" i="81"/>
  <c r="A121" i="81"/>
  <c r="E121" i="81"/>
  <c r="A122" i="81"/>
  <c r="E122" i="81"/>
  <c r="A123" i="81"/>
  <c r="F22" i="63"/>
  <c r="A93" i="81"/>
  <c r="B94" i="81"/>
  <c r="C94" i="81"/>
  <c r="D94" i="81"/>
  <c r="E94" i="81"/>
  <c r="A95" i="81"/>
  <c r="A96" i="81"/>
  <c r="A97" i="81"/>
  <c r="A98" i="81"/>
  <c r="A99" i="81"/>
  <c r="A100" i="81"/>
  <c r="A101" i="81"/>
  <c r="A102" i="81"/>
  <c r="A103" i="81"/>
  <c r="A104" i="81"/>
  <c r="A105" i="81"/>
  <c r="E105" i="81"/>
  <c r="A106" i="81"/>
  <c r="E106" i="81"/>
  <c r="A107" i="81"/>
  <c r="Y4" i="81"/>
  <c r="Y5" i="81"/>
  <c r="Z5" i="81"/>
  <c r="AA5" i="81"/>
  <c r="AB5" i="81"/>
  <c r="AC5" i="81"/>
  <c r="Y6" i="81"/>
  <c r="Z6" i="81"/>
  <c r="AA6" i="81"/>
  <c r="AB6" i="81"/>
  <c r="AC6" i="81"/>
  <c r="Y7" i="81"/>
  <c r="Z7" i="81"/>
  <c r="AA7" i="81"/>
  <c r="AB7" i="81"/>
  <c r="AC7" i="81"/>
  <c r="Y8" i="81"/>
  <c r="Z8" i="81"/>
  <c r="AA8" i="81"/>
  <c r="AB8" i="81"/>
  <c r="AC8" i="81"/>
  <c r="Y9" i="81"/>
  <c r="Z9" i="81"/>
  <c r="AA9" i="81"/>
  <c r="AB9" i="81"/>
  <c r="AC9" i="81"/>
  <c r="Y10" i="81"/>
  <c r="Z10" i="81"/>
  <c r="AA10" i="81"/>
  <c r="AB10" i="81"/>
  <c r="AC10" i="81"/>
  <c r="Y11" i="81"/>
  <c r="Z11" i="81"/>
  <c r="AA11" i="81"/>
  <c r="AB11" i="81"/>
  <c r="AC11" i="81"/>
  <c r="Y12" i="81"/>
  <c r="Z12" i="81"/>
  <c r="AA12" i="81"/>
  <c r="AB12" i="81"/>
  <c r="AC12" i="81"/>
  <c r="Y13" i="81"/>
  <c r="Z13" i="81"/>
  <c r="AA13" i="81"/>
  <c r="AB13" i="81"/>
  <c r="AC13" i="81"/>
  <c r="Y14" i="81"/>
  <c r="Z14" i="81"/>
  <c r="AA14" i="81"/>
  <c r="AB14" i="81"/>
  <c r="AC14" i="81"/>
  <c r="Y15" i="81"/>
  <c r="Z15" i="81"/>
  <c r="AA15" i="81"/>
  <c r="AB15" i="81"/>
  <c r="AC15" i="81"/>
  <c r="Y16" i="81"/>
  <c r="Z16" i="81"/>
  <c r="AA16" i="81"/>
  <c r="AB16" i="81"/>
  <c r="AC16" i="81"/>
  <c r="Y17" i="81"/>
  <c r="Z17" i="81"/>
  <c r="AA17" i="81"/>
  <c r="AB17" i="81"/>
  <c r="AC17" i="81"/>
  <c r="Y18" i="81"/>
  <c r="Y19" i="81"/>
  <c r="S72" i="81"/>
  <c r="T73" i="81"/>
  <c r="U73" i="81"/>
  <c r="V73" i="81"/>
  <c r="W73" i="81"/>
  <c r="S74" i="81"/>
  <c r="S75" i="81"/>
  <c r="S76" i="81"/>
  <c r="S77" i="81"/>
  <c r="S78" i="81"/>
  <c r="S79" i="81"/>
  <c r="S80" i="81"/>
  <c r="S81" i="81"/>
  <c r="S82" i="81"/>
  <c r="S83" i="81"/>
  <c r="S84" i="81"/>
  <c r="S85" i="81"/>
  <c r="S86" i="81"/>
  <c r="S87" i="81"/>
  <c r="E167" i="80"/>
  <c r="E168" i="80"/>
  <c r="E169" i="80"/>
  <c r="E170" i="80"/>
  <c r="E171" i="80"/>
  <c r="E172" i="80"/>
  <c r="E166" i="80"/>
  <c r="S55" i="81"/>
  <c r="T56" i="81"/>
  <c r="U56" i="81"/>
  <c r="V56" i="81"/>
  <c r="W56" i="81"/>
  <c r="S57" i="81"/>
  <c r="U57" i="81"/>
  <c r="S58" i="81"/>
  <c r="U58" i="81"/>
  <c r="S59" i="81"/>
  <c r="U59" i="81"/>
  <c r="S60" i="81"/>
  <c r="U60" i="81"/>
  <c r="S61" i="81"/>
  <c r="U61" i="81"/>
  <c r="S62" i="81"/>
  <c r="U62" i="81"/>
  <c r="S63" i="81"/>
  <c r="U63" i="81"/>
  <c r="S64" i="81"/>
  <c r="U64" i="81"/>
  <c r="S65" i="81"/>
  <c r="U65" i="81"/>
  <c r="S66" i="81"/>
  <c r="U66" i="81"/>
  <c r="S67" i="81"/>
  <c r="U67" i="81"/>
  <c r="S68" i="81"/>
  <c r="U68" i="81"/>
  <c r="S69" i="81"/>
  <c r="S70" i="81"/>
  <c r="S38" i="81"/>
  <c r="T39" i="81"/>
  <c r="U39" i="81"/>
  <c r="V39" i="81"/>
  <c r="W39" i="81"/>
  <c r="S40" i="81"/>
  <c r="T40" i="81"/>
  <c r="U40" i="81"/>
  <c r="S41" i="81"/>
  <c r="U41" i="81"/>
  <c r="S42" i="81"/>
  <c r="T42" i="81"/>
  <c r="U42" i="81"/>
  <c r="S43" i="81"/>
  <c r="T43" i="81"/>
  <c r="U43" i="81"/>
  <c r="S44" i="81"/>
  <c r="T44" i="81"/>
  <c r="U44" i="81"/>
  <c r="S45" i="81"/>
  <c r="T45" i="81"/>
  <c r="U45" i="81"/>
  <c r="S46" i="81"/>
  <c r="T46" i="81"/>
  <c r="U46" i="81"/>
  <c r="S47" i="81"/>
  <c r="T47" i="81"/>
  <c r="U47" i="81"/>
  <c r="S48" i="81"/>
  <c r="T48" i="81"/>
  <c r="U48" i="81"/>
  <c r="S49" i="81"/>
  <c r="T49" i="81"/>
  <c r="U49" i="81"/>
  <c r="S50" i="81"/>
  <c r="T50" i="81"/>
  <c r="U50" i="81"/>
  <c r="W50" i="81"/>
  <c r="S51" i="81"/>
  <c r="T51" i="81"/>
  <c r="U51" i="81"/>
  <c r="W51" i="81"/>
  <c r="S52" i="81"/>
  <c r="S53" i="81"/>
  <c r="E112" i="69"/>
  <c r="W29" i="81" s="1"/>
  <c r="E113" i="69"/>
  <c r="E114" i="69"/>
  <c r="W31" i="81" s="1"/>
  <c r="E115" i="69"/>
  <c r="W32" i="81" s="1"/>
  <c r="E116" i="69"/>
  <c r="W33" i="81" s="1"/>
  <c r="E117" i="69"/>
  <c r="E111" i="69"/>
  <c r="W28" i="81" s="1"/>
  <c r="S21" i="81"/>
  <c r="T22" i="81"/>
  <c r="U22" i="81"/>
  <c r="V22" i="81"/>
  <c r="W22" i="81"/>
  <c r="S23" i="81"/>
  <c r="T23" i="81"/>
  <c r="U23" i="81"/>
  <c r="V23" i="81"/>
  <c r="W23" i="81"/>
  <c r="S24" i="81"/>
  <c r="T24" i="81"/>
  <c r="U24" i="81"/>
  <c r="V24" i="81"/>
  <c r="W24" i="81"/>
  <c r="S25" i="81"/>
  <c r="T25" i="81"/>
  <c r="U25" i="81"/>
  <c r="V25" i="81"/>
  <c r="W25" i="81"/>
  <c r="S26" i="81"/>
  <c r="T26" i="81"/>
  <c r="U26" i="81"/>
  <c r="V26" i="81"/>
  <c r="W26" i="81"/>
  <c r="S27" i="81"/>
  <c r="T27" i="81"/>
  <c r="U27" i="81"/>
  <c r="V27" i="81"/>
  <c r="W27" i="81"/>
  <c r="S28" i="81"/>
  <c r="T28" i="81"/>
  <c r="U28" i="81"/>
  <c r="V28" i="81"/>
  <c r="S29" i="81"/>
  <c r="T29" i="81"/>
  <c r="U29" i="81"/>
  <c r="V29" i="81"/>
  <c r="S30" i="81"/>
  <c r="T30" i="81"/>
  <c r="U30" i="81"/>
  <c r="V30" i="81"/>
  <c r="W30" i="81"/>
  <c r="S31" i="81"/>
  <c r="T31" i="81"/>
  <c r="U31" i="81"/>
  <c r="V31" i="81"/>
  <c r="S32" i="81"/>
  <c r="T32" i="81"/>
  <c r="U32" i="81"/>
  <c r="V32" i="81"/>
  <c r="S33" i="81"/>
  <c r="T33" i="81"/>
  <c r="U33" i="81"/>
  <c r="V33" i="81"/>
  <c r="S34" i="81"/>
  <c r="T34" i="81"/>
  <c r="U34" i="81"/>
  <c r="V34" i="81"/>
  <c r="W34" i="81"/>
  <c r="S35" i="81"/>
  <c r="S36" i="81"/>
  <c r="S4" i="81"/>
  <c r="T5" i="81"/>
  <c r="U5" i="81"/>
  <c r="V5" i="81"/>
  <c r="W5" i="81"/>
  <c r="S6" i="81"/>
  <c r="T6" i="81"/>
  <c r="U6" i="81"/>
  <c r="S7" i="81"/>
  <c r="U7" i="81"/>
  <c r="S8" i="81"/>
  <c r="T8" i="81"/>
  <c r="U8" i="81"/>
  <c r="S9" i="81"/>
  <c r="T9" i="81"/>
  <c r="U9" i="81"/>
  <c r="S10" i="81"/>
  <c r="T10" i="81"/>
  <c r="U10" i="81"/>
  <c r="S11" i="81"/>
  <c r="T11" i="81"/>
  <c r="U11" i="81"/>
  <c r="S12" i="81"/>
  <c r="T12" i="81"/>
  <c r="U12" i="81"/>
  <c r="S13" i="81"/>
  <c r="T13" i="81"/>
  <c r="U13" i="81"/>
  <c r="S14" i="81"/>
  <c r="T14" i="81"/>
  <c r="U14" i="81"/>
  <c r="S15" i="81"/>
  <c r="T15" i="81"/>
  <c r="U15" i="81"/>
  <c r="S16" i="81"/>
  <c r="T16" i="81"/>
  <c r="U16" i="81"/>
  <c r="W16" i="81"/>
  <c r="S17" i="81"/>
  <c r="T17" i="81"/>
  <c r="U17" i="81"/>
  <c r="W17" i="81"/>
  <c r="S18" i="81"/>
  <c r="S19" i="81"/>
  <c r="M72" i="81"/>
  <c r="N73" i="81"/>
  <c r="O73" i="81"/>
  <c r="P73" i="81"/>
  <c r="Q73" i="81"/>
  <c r="M74" i="81"/>
  <c r="M75" i="81"/>
  <c r="M76" i="81"/>
  <c r="M77" i="81"/>
  <c r="M78" i="81"/>
  <c r="M79" i="81"/>
  <c r="M80" i="81"/>
  <c r="M81" i="81"/>
  <c r="M82" i="81"/>
  <c r="M83" i="81"/>
  <c r="Q83" i="81"/>
  <c r="M84" i="81"/>
  <c r="Q84" i="81"/>
  <c r="M85" i="81"/>
  <c r="Q85" i="81"/>
  <c r="M86" i="81"/>
  <c r="M87" i="81"/>
  <c r="M55" i="81"/>
  <c r="N56" i="81"/>
  <c r="O56" i="81"/>
  <c r="P56" i="81"/>
  <c r="Q56" i="81"/>
  <c r="M57" i="81"/>
  <c r="M58" i="81"/>
  <c r="M59" i="81"/>
  <c r="M60" i="81"/>
  <c r="M61" i="81"/>
  <c r="M62" i="81"/>
  <c r="M63" i="81"/>
  <c r="M64" i="81"/>
  <c r="M65" i="81"/>
  <c r="M66" i="81"/>
  <c r="M67" i="81"/>
  <c r="M68" i="81"/>
  <c r="M69" i="81"/>
  <c r="M70" i="81"/>
  <c r="M38" i="81"/>
  <c r="N39" i="81"/>
  <c r="O39" i="81"/>
  <c r="P39" i="81"/>
  <c r="Q39" i="81"/>
  <c r="M40" i="81"/>
  <c r="M41" i="81"/>
  <c r="M42" i="81"/>
  <c r="M43" i="81"/>
  <c r="M44" i="81"/>
  <c r="M45" i="81"/>
  <c r="M46" i="81"/>
  <c r="M47" i="81"/>
  <c r="M48" i="81"/>
  <c r="M49" i="81"/>
  <c r="M50" i="81"/>
  <c r="Q50" i="81"/>
  <c r="M51" i="81"/>
  <c r="Q51" i="81"/>
  <c r="M52" i="81"/>
  <c r="M53" i="81"/>
  <c r="M21" i="81"/>
  <c r="N22" i="81"/>
  <c r="O22" i="81"/>
  <c r="P22" i="81"/>
  <c r="Q22" i="81"/>
  <c r="M23" i="81"/>
  <c r="N23" i="81"/>
  <c r="O23" i="81"/>
  <c r="P23" i="81"/>
  <c r="M24" i="81"/>
  <c r="N24" i="81"/>
  <c r="O24" i="81"/>
  <c r="P24" i="81"/>
  <c r="M25" i="81"/>
  <c r="N25" i="81"/>
  <c r="O25" i="81"/>
  <c r="P25" i="81"/>
  <c r="M26" i="81"/>
  <c r="N26" i="81"/>
  <c r="O26" i="81"/>
  <c r="P26" i="81"/>
  <c r="M27" i="81"/>
  <c r="O27" i="81"/>
  <c r="P27" i="81"/>
  <c r="M28" i="81"/>
  <c r="O28" i="81"/>
  <c r="P28" i="81"/>
  <c r="M29" i="81"/>
  <c r="O29" i="81"/>
  <c r="P29" i="81"/>
  <c r="M30" i="81"/>
  <c r="O30" i="81"/>
  <c r="P30" i="81"/>
  <c r="M31" i="81"/>
  <c r="O31" i="81"/>
  <c r="P31" i="81"/>
  <c r="M32" i="81"/>
  <c r="N32" i="81"/>
  <c r="O32" i="81"/>
  <c r="P32" i="81"/>
  <c r="M33" i="81"/>
  <c r="N33" i="81"/>
  <c r="O33" i="81"/>
  <c r="P33" i="81"/>
  <c r="Q33" i="81"/>
  <c r="M34" i="81"/>
  <c r="N34" i="81"/>
  <c r="O34" i="81"/>
  <c r="P34" i="81"/>
  <c r="Q34" i="81"/>
  <c r="M35" i="81"/>
  <c r="M36" i="81"/>
  <c r="M4" i="81"/>
  <c r="N5" i="81"/>
  <c r="O5" i="81"/>
  <c r="P5" i="81"/>
  <c r="Q5" i="81"/>
  <c r="M6" i="81"/>
  <c r="M7" i="81"/>
  <c r="M8" i="81"/>
  <c r="M9" i="81"/>
  <c r="M10" i="81"/>
  <c r="M11" i="81"/>
  <c r="M12" i="81"/>
  <c r="M13" i="81"/>
  <c r="M14" i="81"/>
  <c r="M15" i="81"/>
  <c r="M16" i="81"/>
  <c r="Q16" i="81"/>
  <c r="M17" i="81"/>
  <c r="Q17" i="81"/>
  <c r="M18" i="81"/>
  <c r="M19" i="81"/>
  <c r="G72" i="81"/>
  <c r="H73" i="81"/>
  <c r="I73" i="81"/>
  <c r="J73" i="81"/>
  <c r="K73" i="81"/>
  <c r="G74" i="81"/>
  <c r="G75" i="81"/>
  <c r="G76" i="81"/>
  <c r="G77" i="81"/>
  <c r="G78" i="81"/>
  <c r="G79" i="81"/>
  <c r="G80" i="81"/>
  <c r="G81" i="81"/>
  <c r="G82" i="81"/>
  <c r="G83" i="81"/>
  <c r="G84" i="81"/>
  <c r="G85" i="81"/>
  <c r="G86" i="81"/>
  <c r="G87" i="81"/>
  <c r="G55" i="81"/>
  <c r="H56" i="81"/>
  <c r="I56" i="81"/>
  <c r="J56" i="81"/>
  <c r="K56" i="81"/>
  <c r="G57" i="81"/>
  <c r="G58" i="81"/>
  <c r="G59" i="81"/>
  <c r="G60" i="81"/>
  <c r="G61" i="81"/>
  <c r="G62" i="81"/>
  <c r="G63" i="81"/>
  <c r="G64" i="81"/>
  <c r="G65" i="81"/>
  <c r="G66" i="81"/>
  <c r="G67" i="81"/>
  <c r="K67" i="81"/>
  <c r="G68" i="81"/>
  <c r="K68" i="81"/>
  <c r="G69" i="81"/>
  <c r="G70" i="81"/>
  <c r="G38" i="81"/>
  <c r="H39" i="81"/>
  <c r="I39" i="81"/>
  <c r="J39" i="81"/>
  <c r="K39" i="81"/>
  <c r="G40" i="81"/>
  <c r="G41" i="81"/>
  <c r="G42" i="81"/>
  <c r="G43" i="81"/>
  <c r="G44" i="81"/>
  <c r="G45" i="81"/>
  <c r="G46" i="81"/>
  <c r="G47" i="81"/>
  <c r="G48" i="81"/>
  <c r="G49" i="81"/>
  <c r="G50" i="81"/>
  <c r="K50" i="81"/>
  <c r="G51" i="81"/>
  <c r="K51" i="81"/>
  <c r="G52" i="81"/>
  <c r="G53" i="81"/>
  <c r="G21" i="81"/>
  <c r="H22" i="81"/>
  <c r="I22" i="81"/>
  <c r="J22" i="81"/>
  <c r="K22" i="81"/>
  <c r="G23" i="81"/>
  <c r="H23" i="81"/>
  <c r="I23" i="81"/>
  <c r="J23" i="81"/>
  <c r="G24" i="81"/>
  <c r="H24" i="81"/>
  <c r="I24" i="81"/>
  <c r="J24" i="81"/>
  <c r="G25" i="81"/>
  <c r="I25" i="81"/>
  <c r="J25" i="81"/>
  <c r="G26" i="81"/>
  <c r="H26" i="81"/>
  <c r="I26" i="81"/>
  <c r="J26" i="81"/>
  <c r="G27" i="81"/>
  <c r="H27" i="81"/>
  <c r="I27" i="81"/>
  <c r="J27" i="81"/>
  <c r="G28" i="81"/>
  <c r="H28" i="81"/>
  <c r="I28" i="81"/>
  <c r="G29" i="81"/>
  <c r="I29" i="81"/>
  <c r="G30" i="81"/>
  <c r="I30" i="81"/>
  <c r="G31" i="81"/>
  <c r="H31" i="81"/>
  <c r="I31" i="81"/>
  <c r="J31" i="81"/>
  <c r="G32" i="81"/>
  <c r="H32" i="81"/>
  <c r="I32" i="81"/>
  <c r="J32" i="81"/>
  <c r="G33" i="81"/>
  <c r="H33" i="81"/>
  <c r="I33" i="81"/>
  <c r="J33" i="81"/>
  <c r="K33" i="81"/>
  <c r="G34" i="81"/>
  <c r="H34" i="81"/>
  <c r="I34" i="81"/>
  <c r="K34" i="81"/>
  <c r="G35" i="81"/>
  <c r="G36" i="81"/>
  <c r="G4" i="81"/>
  <c r="H5" i="81"/>
  <c r="I5" i="81"/>
  <c r="J5" i="81"/>
  <c r="K5" i="81"/>
  <c r="G6" i="81"/>
  <c r="G7" i="81"/>
  <c r="G8" i="81"/>
  <c r="G9" i="81"/>
  <c r="G10" i="81"/>
  <c r="G11" i="81"/>
  <c r="G12" i="81"/>
  <c r="G13" i="81"/>
  <c r="G14" i="81"/>
  <c r="G15" i="81"/>
  <c r="G16" i="81"/>
  <c r="K16" i="81"/>
  <c r="G17" i="81"/>
  <c r="K17" i="81"/>
  <c r="G18" i="81"/>
  <c r="G19" i="81"/>
  <c r="A72" i="81"/>
  <c r="B73" i="81"/>
  <c r="C73" i="81"/>
  <c r="D73" i="81"/>
  <c r="E73" i="81"/>
  <c r="A74" i="81"/>
  <c r="A75" i="81"/>
  <c r="A76" i="81"/>
  <c r="A77" i="81"/>
  <c r="A78" i="81"/>
  <c r="A79" i="81"/>
  <c r="A80" i="81"/>
  <c r="A81" i="81"/>
  <c r="A82" i="81"/>
  <c r="A83" i="81"/>
  <c r="A84" i="81"/>
  <c r="A85" i="81"/>
  <c r="A86" i="81"/>
  <c r="A87" i="81"/>
  <c r="A55" i="81"/>
  <c r="B56" i="81"/>
  <c r="C56" i="81"/>
  <c r="D56" i="81"/>
  <c r="E56" i="81"/>
  <c r="A57" i="81"/>
  <c r="A58" i="81"/>
  <c r="A59" i="81"/>
  <c r="A60" i="81"/>
  <c r="A61" i="81"/>
  <c r="A62" i="81"/>
  <c r="A63" i="81"/>
  <c r="A64" i="81"/>
  <c r="A65" i="81"/>
  <c r="A66" i="81"/>
  <c r="A67" i="81"/>
  <c r="E67" i="81"/>
  <c r="A68" i="81"/>
  <c r="E68" i="81"/>
  <c r="A69" i="81"/>
  <c r="A70" i="81"/>
  <c r="A38" i="81"/>
  <c r="B39" i="81"/>
  <c r="C39" i="81"/>
  <c r="D39" i="81"/>
  <c r="E39" i="81"/>
  <c r="A40" i="81"/>
  <c r="A41" i="81"/>
  <c r="A42" i="81"/>
  <c r="A43" i="81"/>
  <c r="A44" i="81"/>
  <c r="A45" i="81"/>
  <c r="A46" i="81"/>
  <c r="A47" i="81"/>
  <c r="A48" i="81"/>
  <c r="A49" i="81"/>
  <c r="A50" i="81"/>
  <c r="E50" i="81"/>
  <c r="A51" i="81"/>
  <c r="E51" i="81"/>
  <c r="A52" i="81"/>
  <c r="A53" i="81"/>
  <c r="A21" i="81"/>
  <c r="B22" i="81"/>
  <c r="C22" i="81"/>
  <c r="D22" i="81"/>
  <c r="E22" i="81"/>
  <c r="A23" i="81"/>
  <c r="B23" i="81"/>
  <c r="C23" i="81"/>
  <c r="D23" i="81"/>
  <c r="A24" i="81"/>
  <c r="B24" i="81"/>
  <c r="C24" i="81"/>
  <c r="D24" i="81"/>
  <c r="A25" i="81"/>
  <c r="C25" i="81"/>
  <c r="D25" i="81"/>
  <c r="A26" i="81"/>
  <c r="B26" i="81"/>
  <c r="C26" i="81"/>
  <c r="D26" i="81"/>
  <c r="A27" i="81"/>
  <c r="B27" i="81"/>
  <c r="C27" i="81"/>
  <c r="D27" i="81"/>
  <c r="A28" i="81"/>
  <c r="B28" i="81"/>
  <c r="C28" i="81"/>
  <c r="D28" i="81"/>
  <c r="A29" i="81"/>
  <c r="C29" i="81"/>
  <c r="D29" i="81"/>
  <c r="A30" i="81"/>
  <c r="C30" i="81"/>
  <c r="D30" i="81"/>
  <c r="A31" i="81"/>
  <c r="B31" i="81"/>
  <c r="C31" i="81"/>
  <c r="D31" i="81"/>
  <c r="A32" i="81"/>
  <c r="B32" i="81"/>
  <c r="C32" i="81"/>
  <c r="D32" i="81"/>
  <c r="A33" i="81"/>
  <c r="B33" i="81"/>
  <c r="C33" i="81"/>
  <c r="D33" i="81"/>
  <c r="E33" i="81"/>
  <c r="A34" i="81"/>
  <c r="B34" i="81"/>
  <c r="C34" i="81"/>
  <c r="D34" i="81"/>
  <c r="E34" i="81"/>
  <c r="A35" i="81"/>
  <c r="A36" i="81"/>
  <c r="A4" i="81"/>
  <c r="B5" i="81"/>
  <c r="C5" i="81"/>
  <c r="D5" i="81"/>
  <c r="E5" i="81"/>
  <c r="A6" i="81"/>
  <c r="A7" i="81"/>
  <c r="A8" i="81"/>
  <c r="A9" i="81"/>
  <c r="A10" i="81"/>
  <c r="A11" i="81"/>
  <c r="A12" i="81"/>
  <c r="A13" i="81"/>
  <c r="A14" i="81"/>
  <c r="A15" i="81"/>
  <c r="A16" i="81"/>
  <c r="E16" i="81"/>
  <c r="A17" i="81"/>
  <c r="E17" i="81"/>
  <c r="A18" i="81"/>
  <c r="A19" i="81"/>
  <c r="D173" i="80" l="1"/>
  <c r="C173" i="80"/>
  <c r="B173" i="80"/>
  <c r="E155" i="80"/>
  <c r="W85" i="81" s="1"/>
  <c r="E154" i="80"/>
  <c r="W84" i="81" s="1"/>
  <c r="E153" i="80"/>
  <c r="W83" i="81" s="1"/>
  <c r="E152" i="80"/>
  <c r="W82" i="81" s="1"/>
  <c r="E151" i="80"/>
  <c r="W81" i="81" s="1"/>
  <c r="E150" i="80"/>
  <c r="W80" i="81" s="1"/>
  <c r="E149" i="80"/>
  <c r="W79" i="81" s="1"/>
  <c r="E148" i="80"/>
  <c r="W78" i="81" s="1"/>
  <c r="E147" i="80"/>
  <c r="W77" i="81" s="1"/>
  <c r="E146" i="80"/>
  <c r="W76" i="81" s="1"/>
  <c r="E145" i="80"/>
  <c r="W75" i="81" s="1"/>
  <c r="D155" i="80"/>
  <c r="V85" i="81" s="1"/>
  <c r="C155" i="80"/>
  <c r="U85" i="81" s="1"/>
  <c r="B155" i="80"/>
  <c r="T85" i="81" s="1"/>
  <c r="D154" i="80"/>
  <c r="V84" i="81" s="1"/>
  <c r="C154" i="80"/>
  <c r="U84" i="81" s="1"/>
  <c r="B154" i="80"/>
  <c r="T84" i="81" s="1"/>
  <c r="D153" i="80"/>
  <c r="V83" i="81" s="1"/>
  <c r="C153" i="80"/>
  <c r="U83" i="81" s="1"/>
  <c r="B153" i="80"/>
  <c r="T83" i="81" s="1"/>
  <c r="D152" i="80"/>
  <c r="V82" i="81" s="1"/>
  <c r="C152" i="80"/>
  <c r="U82" i="81" s="1"/>
  <c r="B152" i="80"/>
  <c r="T82" i="81" s="1"/>
  <c r="D151" i="80"/>
  <c r="V81" i="81" s="1"/>
  <c r="C151" i="80"/>
  <c r="U81" i="81" s="1"/>
  <c r="B151" i="80"/>
  <c r="T81" i="81" s="1"/>
  <c r="D150" i="80"/>
  <c r="V80" i="81" s="1"/>
  <c r="C150" i="80"/>
  <c r="U80" i="81" s="1"/>
  <c r="B150" i="80"/>
  <c r="T80" i="81" s="1"/>
  <c r="D149" i="80"/>
  <c r="V79" i="81" s="1"/>
  <c r="C149" i="80"/>
  <c r="U79" i="81" s="1"/>
  <c r="B149" i="80"/>
  <c r="T79" i="81" s="1"/>
  <c r="D148" i="80"/>
  <c r="V78" i="81" s="1"/>
  <c r="C148" i="80"/>
  <c r="U78" i="81" s="1"/>
  <c r="B148" i="80"/>
  <c r="T78" i="81" s="1"/>
  <c r="D147" i="80"/>
  <c r="V77" i="81" s="1"/>
  <c r="C147" i="80"/>
  <c r="U77" i="81" s="1"/>
  <c r="B147" i="80"/>
  <c r="T77" i="81" s="1"/>
  <c r="D146" i="80"/>
  <c r="V76" i="81" s="1"/>
  <c r="C146" i="80"/>
  <c r="U76" i="81" s="1"/>
  <c r="B146" i="80"/>
  <c r="T76" i="81" s="1"/>
  <c r="D145" i="80"/>
  <c r="V75" i="81" s="1"/>
  <c r="C145" i="80"/>
  <c r="U75" i="81" s="1"/>
  <c r="B145" i="80"/>
  <c r="T75" i="81" s="1"/>
  <c r="D144" i="80"/>
  <c r="V74" i="81" s="1"/>
  <c r="C144" i="80"/>
  <c r="U74" i="81" s="1"/>
  <c r="B144" i="80"/>
  <c r="T74" i="81" s="1"/>
  <c r="D156" i="80" l="1"/>
  <c r="V86" i="81" s="1"/>
  <c r="C156" i="80"/>
  <c r="U86" i="81" s="1"/>
  <c r="E173" i="80"/>
  <c r="B156" i="80"/>
  <c r="T86" i="81" s="1"/>
  <c r="E144" i="80"/>
  <c r="K119" i="80"/>
  <c r="L119" i="80"/>
  <c r="M119" i="80"/>
  <c r="N119" i="80"/>
  <c r="C120" i="80"/>
  <c r="U69" i="81" s="1"/>
  <c r="C122" i="80"/>
  <c r="E74" i="80"/>
  <c r="E138" i="80"/>
  <c r="D138" i="80"/>
  <c r="C138" i="80"/>
  <c r="B138" i="80"/>
  <c r="E137" i="80"/>
  <c r="D137" i="80"/>
  <c r="C137" i="80"/>
  <c r="B137" i="80"/>
  <c r="E136" i="80"/>
  <c r="D136" i="80"/>
  <c r="C136" i="80"/>
  <c r="B136" i="80"/>
  <c r="E135" i="80"/>
  <c r="D135" i="80"/>
  <c r="C135" i="80"/>
  <c r="B135" i="80"/>
  <c r="E134" i="80"/>
  <c r="D134" i="80"/>
  <c r="C134" i="80"/>
  <c r="B134" i="80"/>
  <c r="E133" i="80"/>
  <c r="D133" i="80"/>
  <c r="C133" i="80"/>
  <c r="B133" i="80"/>
  <c r="E132" i="80"/>
  <c r="D132" i="80"/>
  <c r="C132" i="80"/>
  <c r="B132" i="80"/>
  <c r="E131" i="80"/>
  <c r="D131" i="80"/>
  <c r="C131" i="80"/>
  <c r="B131" i="80"/>
  <c r="E130" i="80"/>
  <c r="D130" i="80"/>
  <c r="C130" i="80"/>
  <c r="B130" i="80"/>
  <c r="E129" i="80"/>
  <c r="D129" i="80"/>
  <c r="C129" i="80"/>
  <c r="B129" i="80"/>
  <c r="E128" i="80"/>
  <c r="D128" i="80"/>
  <c r="C128" i="80"/>
  <c r="B128" i="80"/>
  <c r="E127" i="80"/>
  <c r="E139" i="80" s="1"/>
  <c r="D127" i="80"/>
  <c r="D139" i="80" s="1"/>
  <c r="C127" i="80"/>
  <c r="B127" i="80"/>
  <c r="C123" i="80"/>
  <c r="B92" i="80"/>
  <c r="C92" i="80"/>
  <c r="D92" i="80"/>
  <c r="E92" i="80"/>
  <c r="B93" i="80"/>
  <c r="C93" i="80"/>
  <c r="D93" i="80"/>
  <c r="E93" i="80"/>
  <c r="B94" i="80"/>
  <c r="C94" i="80"/>
  <c r="D94" i="80"/>
  <c r="E94" i="80"/>
  <c r="B95" i="80"/>
  <c r="C95" i="80"/>
  <c r="D95" i="80"/>
  <c r="E95" i="80"/>
  <c r="B96" i="80"/>
  <c r="C96" i="80"/>
  <c r="D96" i="80"/>
  <c r="E96" i="80"/>
  <c r="B97" i="80"/>
  <c r="C97" i="80"/>
  <c r="D97" i="80"/>
  <c r="E97" i="80"/>
  <c r="B98" i="80"/>
  <c r="C98" i="80"/>
  <c r="D98" i="80"/>
  <c r="E98" i="80"/>
  <c r="B99" i="80"/>
  <c r="C99" i="80"/>
  <c r="D99" i="80"/>
  <c r="E99" i="80"/>
  <c r="B100" i="80"/>
  <c r="C100" i="80"/>
  <c r="D100" i="80"/>
  <c r="E100" i="80"/>
  <c r="B101" i="80"/>
  <c r="C101" i="80"/>
  <c r="D101" i="80"/>
  <c r="E101" i="80"/>
  <c r="B102" i="80"/>
  <c r="C102" i="80"/>
  <c r="D102" i="80"/>
  <c r="E102" i="80"/>
  <c r="C91" i="80"/>
  <c r="D91" i="80"/>
  <c r="E91" i="80"/>
  <c r="B91" i="80"/>
  <c r="B74" i="80"/>
  <c r="B75" i="80"/>
  <c r="K23" i="80" s="1"/>
  <c r="C75" i="80"/>
  <c r="L23" i="80" s="1"/>
  <c r="D75" i="80"/>
  <c r="M23" i="80" s="1"/>
  <c r="E75" i="80"/>
  <c r="B76" i="80"/>
  <c r="K24" i="80" s="1"/>
  <c r="C76" i="80"/>
  <c r="L24" i="80" s="1"/>
  <c r="D76" i="80"/>
  <c r="E76" i="80"/>
  <c r="N24" i="80" s="1"/>
  <c r="B77" i="80"/>
  <c r="K25" i="80" s="1"/>
  <c r="C77" i="80"/>
  <c r="L25" i="80" s="1"/>
  <c r="D77" i="80"/>
  <c r="M25" i="80" s="1"/>
  <c r="B78" i="80"/>
  <c r="C78" i="80"/>
  <c r="L62" i="80" s="1"/>
  <c r="U62" i="80" s="1"/>
  <c r="D78" i="80"/>
  <c r="M62" i="80" s="1"/>
  <c r="E78" i="80"/>
  <c r="B79" i="80"/>
  <c r="K27" i="80" s="1"/>
  <c r="C79" i="80"/>
  <c r="L27" i="80" s="1"/>
  <c r="U27" i="80" s="1"/>
  <c r="D79" i="80"/>
  <c r="M27" i="80" s="1"/>
  <c r="V27" i="80" s="1"/>
  <c r="B80" i="80"/>
  <c r="K28" i="80" s="1"/>
  <c r="C80" i="80"/>
  <c r="D80" i="80"/>
  <c r="M28" i="80" s="1"/>
  <c r="B81" i="80"/>
  <c r="C81" i="80"/>
  <c r="D81" i="80"/>
  <c r="B82" i="80"/>
  <c r="K30" i="80" s="1"/>
  <c r="C82" i="80"/>
  <c r="L30" i="80" s="1"/>
  <c r="U30" i="80" s="1"/>
  <c r="D82" i="80"/>
  <c r="B83" i="80"/>
  <c r="C83" i="80"/>
  <c r="L31" i="80" s="1"/>
  <c r="D83" i="80"/>
  <c r="M67" i="80" s="1"/>
  <c r="E83" i="80"/>
  <c r="N31" i="80" s="1"/>
  <c r="B84" i="80"/>
  <c r="K32" i="80" s="1"/>
  <c r="C84" i="80"/>
  <c r="L68" i="80" s="1"/>
  <c r="U68" i="80" s="1"/>
  <c r="D84" i="80"/>
  <c r="M32" i="80" s="1"/>
  <c r="B85" i="80"/>
  <c r="K33" i="80" s="1"/>
  <c r="C85" i="80"/>
  <c r="L33" i="80" s="1"/>
  <c r="D85" i="80"/>
  <c r="C74" i="80"/>
  <c r="C78" i="77"/>
  <c r="N139" i="80"/>
  <c r="M139" i="80"/>
  <c r="L139" i="80"/>
  <c r="K139" i="80"/>
  <c r="N103" i="80"/>
  <c r="M103" i="80"/>
  <c r="L103" i="80"/>
  <c r="K103" i="80"/>
  <c r="N84" i="80"/>
  <c r="K83" i="80"/>
  <c r="K82" i="80"/>
  <c r="N77" i="80"/>
  <c r="N76" i="80"/>
  <c r="K75" i="80"/>
  <c r="K74" i="80"/>
  <c r="L67" i="80"/>
  <c r="U67" i="80" s="1"/>
  <c r="L63" i="80"/>
  <c r="L32" i="80"/>
  <c r="U32" i="80" s="1"/>
  <c r="K31" i="80"/>
  <c r="M30" i="80"/>
  <c r="L29" i="80"/>
  <c r="L28" i="80"/>
  <c r="U28" i="80" s="1"/>
  <c r="K26" i="80"/>
  <c r="M24" i="80"/>
  <c r="N23" i="80"/>
  <c r="Q14" i="80"/>
  <c r="P14" i="80"/>
  <c r="Q13" i="80"/>
  <c r="P13" i="80"/>
  <c r="Q12" i="80"/>
  <c r="P12" i="80"/>
  <c r="Q11" i="80"/>
  <c r="P11" i="80"/>
  <c r="Q10" i="80"/>
  <c r="P10" i="80"/>
  <c r="Q9" i="80"/>
  <c r="P9" i="80"/>
  <c r="Q8" i="80"/>
  <c r="P8" i="80"/>
  <c r="Q7" i="80"/>
  <c r="P7" i="80"/>
  <c r="Q6" i="80"/>
  <c r="P6" i="80"/>
  <c r="Y5" i="80"/>
  <c r="Q5" i="80"/>
  <c r="P5" i="80"/>
  <c r="Q4" i="80"/>
  <c r="P4" i="80"/>
  <c r="Q3" i="80"/>
  <c r="P3" i="80"/>
  <c r="B103" i="80"/>
  <c r="E69" i="80"/>
  <c r="N85" i="80" s="1"/>
  <c r="D69" i="80"/>
  <c r="M85" i="80" s="1"/>
  <c r="C69" i="80"/>
  <c r="L85" i="80" s="1"/>
  <c r="U85" i="80" s="1"/>
  <c r="AE85" i="80" s="1"/>
  <c r="U191" i="81" s="1"/>
  <c r="B69" i="80"/>
  <c r="K85" i="80" s="1"/>
  <c r="E68" i="80"/>
  <c r="D68" i="80"/>
  <c r="M84" i="80" s="1"/>
  <c r="C68" i="80"/>
  <c r="L84" i="80" s="1"/>
  <c r="B68" i="80"/>
  <c r="K84" i="80" s="1"/>
  <c r="E67" i="80"/>
  <c r="N83" i="80" s="1"/>
  <c r="D67" i="80"/>
  <c r="M83" i="80" s="1"/>
  <c r="C67" i="80"/>
  <c r="L83" i="80" s="1"/>
  <c r="U83" i="80" s="1"/>
  <c r="AE83" i="80" s="1"/>
  <c r="U189" i="81" s="1"/>
  <c r="B67" i="80"/>
  <c r="E66" i="80"/>
  <c r="N82" i="80" s="1"/>
  <c r="D66" i="80"/>
  <c r="M82" i="80" s="1"/>
  <c r="C66" i="80"/>
  <c r="L82" i="80" s="1"/>
  <c r="B66" i="80"/>
  <c r="E65" i="80"/>
  <c r="N81" i="80" s="1"/>
  <c r="D65" i="80"/>
  <c r="M81" i="80" s="1"/>
  <c r="Q81" i="80" s="1"/>
  <c r="C65" i="80"/>
  <c r="L81" i="80" s="1"/>
  <c r="U81" i="80" s="1"/>
  <c r="AE81" i="80" s="1"/>
  <c r="U187" i="81" s="1"/>
  <c r="B65" i="80"/>
  <c r="K81" i="80" s="1"/>
  <c r="E64" i="80"/>
  <c r="N80" i="80" s="1"/>
  <c r="D64" i="80"/>
  <c r="M80" i="80" s="1"/>
  <c r="C64" i="80"/>
  <c r="L80" i="80" s="1"/>
  <c r="B64" i="80"/>
  <c r="K80" i="80" s="1"/>
  <c r="E63" i="80"/>
  <c r="N79" i="80" s="1"/>
  <c r="D63" i="80"/>
  <c r="M79" i="80" s="1"/>
  <c r="C63" i="80"/>
  <c r="L79" i="80" s="1"/>
  <c r="U79" i="80" s="1"/>
  <c r="AE79" i="80" s="1"/>
  <c r="U185" i="81" s="1"/>
  <c r="B63" i="80"/>
  <c r="K79" i="80" s="1"/>
  <c r="E62" i="80"/>
  <c r="N78" i="80" s="1"/>
  <c r="D62" i="80"/>
  <c r="M78" i="80" s="1"/>
  <c r="C62" i="80"/>
  <c r="L78" i="80" s="1"/>
  <c r="B62" i="80"/>
  <c r="K78" i="80" s="1"/>
  <c r="E61" i="80"/>
  <c r="D61" i="80"/>
  <c r="M77" i="80" s="1"/>
  <c r="Q77" i="80" s="1"/>
  <c r="C61" i="80"/>
  <c r="L77" i="80" s="1"/>
  <c r="U77" i="80" s="1"/>
  <c r="AE77" i="80" s="1"/>
  <c r="U183" i="81" s="1"/>
  <c r="B61" i="80"/>
  <c r="K77" i="80" s="1"/>
  <c r="E60" i="80"/>
  <c r="D60" i="80"/>
  <c r="M76" i="80" s="1"/>
  <c r="C60" i="80"/>
  <c r="L76" i="80" s="1"/>
  <c r="B60" i="80"/>
  <c r="K76" i="80" s="1"/>
  <c r="E59" i="80"/>
  <c r="N75" i="80" s="1"/>
  <c r="D59" i="80"/>
  <c r="M75" i="80" s="1"/>
  <c r="C59" i="80"/>
  <c r="L75" i="80" s="1"/>
  <c r="U75" i="80" s="1"/>
  <c r="AE75" i="80" s="1"/>
  <c r="U181" i="81" s="1"/>
  <c r="B59" i="80"/>
  <c r="E58" i="80"/>
  <c r="E70" i="80" s="1"/>
  <c r="D58" i="80"/>
  <c r="D70" i="80" s="1"/>
  <c r="C58" i="80"/>
  <c r="C70" i="80" s="1"/>
  <c r="B58" i="80"/>
  <c r="B70" i="80" s="1"/>
  <c r="E53" i="80"/>
  <c r="D53" i="80"/>
  <c r="C53" i="80"/>
  <c r="B53" i="80"/>
  <c r="E37" i="80"/>
  <c r="D37" i="80"/>
  <c r="C37" i="80"/>
  <c r="B37" i="80"/>
  <c r="E36" i="80"/>
  <c r="D36" i="80"/>
  <c r="C36" i="80"/>
  <c r="B36" i="80"/>
  <c r="E34" i="80"/>
  <c r="D34" i="80"/>
  <c r="C34" i="80"/>
  <c r="B34" i="80"/>
  <c r="H33" i="80"/>
  <c r="G33" i="80"/>
  <c r="F33" i="80"/>
  <c r="H32" i="80"/>
  <c r="G32" i="80"/>
  <c r="F32" i="80"/>
  <c r="H31" i="80"/>
  <c r="G31" i="80"/>
  <c r="F31" i="80"/>
  <c r="H30" i="80"/>
  <c r="G30" i="80"/>
  <c r="F30" i="80"/>
  <c r="H29" i="80"/>
  <c r="G29" i="80"/>
  <c r="F29" i="80"/>
  <c r="H28" i="80"/>
  <c r="G28" i="80"/>
  <c r="F28" i="80"/>
  <c r="H27" i="80"/>
  <c r="G27" i="80"/>
  <c r="F27" i="80"/>
  <c r="H26" i="80"/>
  <c r="G26" i="80"/>
  <c r="F26" i="80"/>
  <c r="H25" i="80"/>
  <c r="G25" i="80"/>
  <c r="F25" i="80"/>
  <c r="F37" i="80" s="1"/>
  <c r="H24" i="80"/>
  <c r="G24" i="80"/>
  <c r="F24" i="80"/>
  <c r="H23" i="80"/>
  <c r="G23" i="80"/>
  <c r="F23" i="80"/>
  <c r="H22" i="80"/>
  <c r="G22" i="80"/>
  <c r="F22" i="80"/>
  <c r="C18" i="80"/>
  <c r="B18" i="80"/>
  <c r="C17" i="80"/>
  <c r="C15" i="80"/>
  <c r="U52" i="81" s="1"/>
  <c r="B91" i="77"/>
  <c r="N139" i="77"/>
  <c r="M139" i="77"/>
  <c r="L139" i="77"/>
  <c r="K139" i="77"/>
  <c r="N119" i="77"/>
  <c r="M119" i="77"/>
  <c r="L119" i="77"/>
  <c r="K119" i="77"/>
  <c r="N103" i="77"/>
  <c r="M103" i="77"/>
  <c r="L103" i="77"/>
  <c r="K103" i="77"/>
  <c r="N85" i="77"/>
  <c r="N84" i="77"/>
  <c r="Q14" i="77"/>
  <c r="P14" i="77"/>
  <c r="Q13" i="77"/>
  <c r="P13" i="77"/>
  <c r="Q12" i="77"/>
  <c r="P12" i="77"/>
  <c r="Q11" i="77"/>
  <c r="P11" i="77"/>
  <c r="Q10" i="77"/>
  <c r="P10" i="77"/>
  <c r="Q9" i="77"/>
  <c r="P9" i="77"/>
  <c r="Q8" i="77"/>
  <c r="P8" i="77"/>
  <c r="Q7" i="77"/>
  <c r="P7" i="77"/>
  <c r="Q6" i="77"/>
  <c r="P6" i="77"/>
  <c r="Q5" i="77"/>
  <c r="P5" i="77"/>
  <c r="Q4" i="77"/>
  <c r="P4" i="77"/>
  <c r="Q3" i="77"/>
  <c r="P3" i="77"/>
  <c r="B75" i="77"/>
  <c r="C75" i="77"/>
  <c r="D75" i="77"/>
  <c r="E75" i="77"/>
  <c r="B76" i="77"/>
  <c r="C76" i="77"/>
  <c r="D76" i="77"/>
  <c r="E76" i="77"/>
  <c r="B77" i="77"/>
  <c r="C77" i="77"/>
  <c r="D77" i="77"/>
  <c r="E77" i="77"/>
  <c r="B78" i="77"/>
  <c r="D78" i="77"/>
  <c r="E78" i="77"/>
  <c r="B79" i="77"/>
  <c r="C79" i="77"/>
  <c r="D79" i="77"/>
  <c r="E79" i="77"/>
  <c r="B80" i="77"/>
  <c r="C80" i="77"/>
  <c r="D80" i="77"/>
  <c r="E80" i="77"/>
  <c r="B81" i="77"/>
  <c r="C81" i="77"/>
  <c r="D81" i="77"/>
  <c r="E81" i="77"/>
  <c r="B82" i="77"/>
  <c r="C82" i="77"/>
  <c r="D82" i="77"/>
  <c r="E82" i="77"/>
  <c r="B83" i="77"/>
  <c r="C83" i="77"/>
  <c r="D83" i="77"/>
  <c r="E83" i="77"/>
  <c r="B84" i="77"/>
  <c r="C84" i="77"/>
  <c r="D84" i="77"/>
  <c r="E84" i="77"/>
  <c r="B85" i="77"/>
  <c r="C85" i="77"/>
  <c r="D85" i="77"/>
  <c r="E85" i="77"/>
  <c r="C74" i="77"/>
  <c r="D74" i="77"/>
  <c r="E74" i="77"/>
  <c r="B74" i="77"/>
  <c r="B92" i="77"/>
  <c r="C92" i="77"/>
  <c r="D92" i="77"/>
  <c r="E92" i="77"/>
  <c r="B93" i="77"/>
  <c r="C93" i="77"/>
  <c r="D93" i="77"/>
  <c r="E93" i="77"/>
  <c r="B94" i="77"/>
  <c r="C94" i="77"/>
  <c r="D94" i="77"/>
  <c r="E94" i="77"/>
  <c r="B95" i="77"/>
  <c r="C95" i="77"/>
  <c r="D95" i="77"/>
  <c r="E95" i="77"/>
  <c r="B96" i="77"/>
  <c r="C96" i="77"/>
  <c r="D96" i="77"/>
  <c r="E96" i="77"/>
  <c r="B97" i="77"/>
  <c r="C97" i="77"/>
  <c r="D97" i="77"/>
  <c r="E97" i="77"/>
  <c r="B98" i="77"/>
  <c r="C98" i="77"/>
  <c r="D98" i="77"/>
  <c r="E98" i="77"/>
  <c r="B99" i="77"/>
  <c r="C99" i="77"/>
  <c r="D99" i="77"/>
  <c r="E99" i="77"/>
  <c r="B100" i="77"/>
  <c r="C100" i="77"/>
  <c r="D100" i="77"/>
  <c r="E100" i="77"/>
  <c r="B101" i="77"/>
  <c r="C101" i="77"/>
  <c r="D101" i="77"/>
  <c r="E101" i="77"/>
  <c r="B102" i="77"/>
  <c r="C102" i="77"/>
  <c r="D102" i="77"/>
  <c r="E102" i="77"/>
  <c r="C91" i="77"/>
  <c r="D91" i="77"/>
  <c r="E91" i="77"/>
  <c r="B127" i="77"/>
  <c r="B75" i="76"/>
  <c r="B91" i="76"/>
  <c r="B74" i="76"/>
  <c r="B127" i="76"/>
  <c r="B128" i="76"/>
  <c r="C128" i="76"/>
  <c r="C139" i="76" s="1"/>
  <c r="D128" i="76"/>
  <c r="E128" i="76"/>
  <c r="B129" i="76"/>
  <c r="C129" i="76"/>
  <c r="D129" i="76"/>
  <c r="E129" i="76"/>
  <c r="B130" i="76"/>
  <c r="C130" i="76"/>
  <c r="AD6" i="76" s="1"/>
  <c r="D130" i="76"/>
  <c r="E130" i="76"/>
  <c r="B131" i="76"/>
  <c r="C131" i="76"/>
  <c r="D131" i="76"/>
  <c r="E131" i="76"/>
  <c r="B132" i="76"/>
  <c r="C132" i="76"/>
  <c r="D132" i="76"/>
  <c r="E132" i="76"/>
  <c r="B133" i="76"/>
  <c r="C133" i="76"/>
  <c r="D133" i="76"/>
  <c r="E133" i="76"/>
  <c r="B134" i="76"/>
  <c r="C134" i="76"/>
  <c r="D134" i="76"/>
  <c r="E134" i="76"/>
  <c r="B135" i="76"/>
  <c r="C135" i="76"/>
  <c r="D135" i="76"/>
  <c r="E135" i="76"/>
  <c r="B136" i="76"/>
  <c r="C136" i="76"/>
  <c r="D136" i="76"/>
  <c r="E136" i="76"/>
  <c r="B137" i="76"/>
  <c r="C137" i="76"/>
  <c r="D137" i="76"/>
  <c r="E137" i="76"/>
  <c r="B138" i="76"/>
  <c r="C138" i="76"/>
  <c r="D138" i="76"/>
  <c r="E138" i="76"/>
  <c r="C127" i="76"/>
  <c r="D127" i="76"/>
  <c r="E127" i="76"/>
  <c r="B128" i="77"/>
  <c r="C128" i="77"/>
  <c r="D128" i="77"/>
  <c r="E128" i="77"/>
  <c r="B129" i="77"/>
  <c r="C129" i="77"/>
  <c r="D129" i="77"/>
  <c r="E129" i="77"/>
  <c r="B130" i="77"/>
  <c r="C130" i="77"/>
  <c r="D130" i="77"/>
  <c r="E130" i="77"/>
  <c r="B131" i="77"/>
  <c r="C131" i="77"/>
  <c r="D131" i="77"/>
  <c r="E131" i="77"/>
  <c r="B132" i="77"/>
  <c r="C132" i="77"/>
  <c r="D132" i="77"/>
  <c r="E132" i="77"/>
  <c r="B133" i="77"/>
  <c r="C133" i="77"/>
  <c r="D133" i="77"/>
  <c r="E133" i="77"/>
  <c r="B134" i="77"/>
  <c r="C134" i="77"/>
  <c r="D134" i="77"/>
  <c r="E134" i="77"/>
  <c r="B135" i="77"/>
  <c r="C135" i="77"/>
  <c r="D135" i="77"/>
  <c r="E135" i="77"/>
  <c r="B136" i="77"/>
  <c r="C136" i="77"/>
  <c r="D136" i="77"/>
  <c r="E136" i="77"/>
  <c r="B137" i="77"/>
  <c r="C137" i="77"/>
  <c r="D137" i="77"/>
  <c r="E137" i="77"/>
  <c r="B138" i="77"/>
  <c r="C138" i="77"/>
  <c r="D138" i="77"/>
  <c r="E138" i="77"/>
  <c r="C127" i="77"/>
  <c r="D127" i="77"/>
  <c r="E127" i="77"/>
  <c r="B144" i="77"/>
  <c r="B145" i="77"/>
  <c r="C145" i="77"/>
  <c r="O75" i="81" s="1"/>
  <c r="D145" i="77"/>
  <c r="P75" i="81" s="1"/>
  <c r="B146" i="77"/>
  <c r="N76" i="81" s="1"/>
  <c r="C146" i="77"/>
  <c r="O76" i="81" s="1"/>
  <c r="D146" i="77"/>
  <c r="P76" i="81" s="1"/>
  <c r="B147" i="77"/>
  <c r="N77" i="81" s="1"/>
  <c r="C147" i="77"/>
  <c r="O77" i="81" s="1"/>
  <c r="D147" i="77"/>
  <c r="P77" i="81" s="1"/>
  <c r="C148" i="77"/>
  <c r="O78" i="81" s="1"/>
  <c r="D148" i="77"/>
  <c r="P78" i="81" s="1"/>
  <c r="C149" i="77"/>
  <c r="O79" i="81" s="1"/>
  <c r="D149" i="77"/>
  <c r="P79" i="81" s="1"/>
  <c r="C150" i="77"/>
  <c r="O80" i="81" s="1"/>
  <c r="D150" i="77"/>
  <c r="P80" i="81" s="1"/>
  <c r="C151" i="77"/>
  <c r="O81" i="81" s="1"/>
  <c r="D151" i="77"/>
  <c r="P81" i="81" s="1"/>
  <c r="C152" i="77"/>
  <c r="O82" i="81" s="1"/>
  <c r="D152" i="77"/>
  <c r="P82" i="81" s="1"/>
  <c r="B153" i="77"/>
  <c r="C153" i="77"/>
  <c r="O83" i="81" s="1"/>
  <c r="D153" i="77"/>
  <c r="P83" i="81" s="1"/>
  <c r="B154" i="77"/>
  <c r="N84" i="81" s="1"/>
  <c r="C154" i="77"/>
  <c r="O84" i="81" s="1"/>
  <c r="D154" i="77"/>
  <c r="P84" i="81" s="1"/>
  <c r="B155" i="77"/>
  <c r="N85" i="81" s="1"/>
  <c r="C155" i="77"/>
  <c r="D155" i="77"/>
  <c r="P85" i="81" s="1"/>
  <c r="C144" i="77"/>
  <c r="O74" i="81" s="1"/>
  <c r="D144" i="77"/>
  <c r="P74" i="81" s="1"/>
  <c r="B169" i="77"/>
  <c r="E169" i="77" s="1"/>
  <c r="E152" i="77" s="1"/>
  <c r="Q82" i="81" s="1"/>
  <c r="B168" i="77"/>
  <c r="E168" i="77" s="1"/>
  <c r="E151" i="77" s="1"/>
  <c r="Q81" i="81" s="1"/>
  <c r="B167" i="77"/>
  <c r="E167" i="77" s="1"/>
  <c r="E150" i="77" s="1"/>
  <c r="Q80" i="81" s="1"/>
  <c r="B166" i="77"/>
  <c r="E166" i="77" s="1"/>
  <c r="E149" i="77" s="1"/>
  <c r="Q79" i="81" s="1"/>
  <c r="B165" i="77"/>
  <c r="E165" i="77" s="1"/>
  <c r="E148" i="77" s="1"/>
  <c r="Q78" i="81" s="1"/>
  <c r="E164" i="77"/>
  <c r="E147" i="77" s="1"/>
  <c r="Q77" i="81" s="1"/>
  <c r="E163" i="77"/>
  <c r="E146" i="77" s="1"/>
  <c r="Q76" i="81" s="1"/>
  <c r="E162" i="77"/>
  <c r="E145" i="77" s="1"/>
  <c r="Q75" i="81" s="1"/>
  <c r="E161" i="77"/>
  <c r="E144" i="77" s="1"/>
  <c r="Q74" i="81" s="1"/>
  <c r="D173" i="77"/>
  <c r="C173" i="77"/>
  <c r="H131" i="77"/>
  <c r="D103" i="77"/>
  <c r="D69" i="77"/>
  <c r="M85" i="77" s="1"/>
  <c r="C69" i="77"/>
  <c r="L85" i="77" s="1"/>
  <c r="B69" i="77"/>
  <c r="K85" i="77" s="1"/>
  <c r="D68" i="77"/>
  <c r="M84" i="77" s="1"/>
  <c r="C68" i="77"/>
  <c r="L84" i="77" s="1"/>
  <c r="B68" i="77"/>
  <c r="K84" i="77" s="1"/>
  <c r="E67" i="77"/>
  <c r="N83" i="77" s="1"/>
  <c r="D67" i="77"/>
  <c r="M83" i="77" s="1"/>
  <c r="C67" i="77"/>
  <c r="L83" i="77" s="1"/>
  <c r="B67" i="77"/>
  <c r="K83" i="77" s="1"/>
  <c r="E66" i="77"/>
  <c r="N82" i="77" s="1"/>
  <c r="D66" i="77"/>
  <c r="M82" i="77" s="1"/>
  <c r="C66" i="77"/>
  <c r="L82" i="77" s="1"/>
  <c r="B66" i="77"/>
  <c r="K82" i="77" s="1"/>
  <c r="E65" i="77"/>
  <c r="N81" i="77" s="1"/>
  <c r="D65" i="77"/>
  <c r="M81" i="77" s="1"/>
  <c r="C65" i="77"/>
  <c r="L81" i="77" s="1"/>
  <c r="B65" i="77"/>
  <c r="K81" i="77" s="1"/>
  <c r="E64" i="77"/>
  <c r="N80" i="77" s="1"/>
  <c r="D64" i="77"/>
  <c r="M80" i="77" s="1"/>
  <c r="C64" i="77"/>
  <c r="L80" i="77" s="1"/>
  <c r="B64" i="77"/>
  <c r="K80" i="77" s="1"/>
  <c r="E63" i="77"/>
  <c r="N79" i="77" s="1"/>
  <c r="D63" i="77"/>
  <c r="M79" i="77" s="1"/>
  <c r="C63" i="77"/>
  <c r="L79" i="77" s="1"/>
  <c r="B63" i="77"/>
  <c r="K79" i="77" s="1"/>
  <c r="E62" i="77"/>
  <c r="N78" i="77" s="1"/>
  <c r="D62" i="77"/>
  <c r="M78" i="77" s="1"/>
  <c r="C62" i="77"/>
  <c r="L78" i="77" s="1"/>
  <c r="B62" i="77"/>
  <c r="K78" i="77" s="1"/>
  <c r="E61" i="77"/>
  <c r="N77" i="77" s="1"/>
  <c r="D61" i="77"/>
  <c r="M77" i="77" s="1"/>
  <c r="C61" i="77"/>
  <c r="L77" i="77" s="1"/>
  <c r="B61" i="77"/>
  <c r="K77" i="77" s="1"/>
  <c r="E60" i="77"/>
  <c r="N76" i="77" s="1"/>
  <c r="D60" i="77"/>
  <c r="M76" i="77" s="1"/>
  <c r="C60" i="77"/>
  <c r="L76" i="77" s="1"/>
  <c r="B60" i="77"/>
  <c r="K76" i="77" s="1"/>
  <c r="E59" i="77"/>
  <c r="N75" i="77" s="1"/>
  <c r="D59" i="77"/>
  <c r="M75" i="77" s="1"/>
  <c r="C59" i="77"/>
  <c r="L75" i="77" s="1"/>
  <c r="B59" i="77"/>
  <c r="K75" i="77" s="1"/>
  <c r="E58" i="77"/>
  <c r="E70" i="77" s="1"/>
  <c r="D58" i="77"/>
  <c r="D70" i="77" s="1"/>
  <c r="C58" i="77"/>
  <c r="B58" i="77"/>
  <c r="E53" i="77"/>
  <c r="D53" i="77"/>
  <c r="C53" i="77"/>
  <c r="B53" i="77"/>
  <c r="E37" i="77"/>
  <c r="D37" i="77"/>
  <c r="C37" i="77"/>
  <c r="B37" i="77"/>
  <c r="E36" i="77"/>
  <c r="D36" i="77"/>
  <c r="C36" i="77"/>
  <c r="B36" i="77"/>
  <c r="E34" i="77"/>
  <c r="D34" i="77"/>
  <c r="C34" i="77"/>
  <c r="B34" i="77"/>
  <c r="H33" i="77"/>
  <c r="G33" i="77"/>
  <c r="F33" i="77"/>
  <c r="H32" i="77"/>
  <c r="G32" i="77"/>
  <c r="F32" i="77"/>
  <c r="H31" i="77"/>
  <c r="G31" i="77"/>
  <c r="F31" i="77"/>
  <c r="H30" i="77"/>
  <c r="G30" i="77"/>
  <c r="F30" i="77"/>
  <c r="H29" i="77"/>
  <c r="G29" i="77"/>
  <c r="F29" i="77"/>
  <c r="H28" i="77"/>
  <c r="G28" i="77"/>
  <c r="F28" i="77"/>
  <c r="H27" i="77"/>
  <c r="G27" i="77"/>
  <c r="F27" i="77"/>
  <c r="H26" i="77"/>
  <c r="G26" i="77"/>
  <c r="F26" i="77"/>
  <c r="H25" i="77"/>
  <c r="G25" i="77"/>
  <c r="F25" i="77"/>
  <c r="H24" i="77"/>
  <c r="G24" i="77"/>
  <c r="F24" i="77"/>
  <c r="H23" i="77"/>
  <c r="G23" i="77"/>
  <c r="F23" i="77"/>
  <c r="H22" i="77"/>
  <c r="G22" i="77"/>
  <c r="F22" i="77"/>
  <c r="B145" i="76"/>
  <c r="C145" i="76"/>
  <c r="I75" i="81" s="1"/>
  <c r="D145" i="76"/>
  <c r="B146" i="76"/>
  <c r="C146" i="76"/>
  <c r="I76" i="81" s="1"/>
  <c r="D146" i="76"/>
  <c r="J76" i="81" s="1"/>
  <c r="E146" i="76"/>
  <c r="K76" i="81" s="1"/>
  <c r="B147" i="76"/>
  <c r="C147" i="76"/>
  <c r="I77" i="81" s="1"/>
  <c r="D147" i="76"/>
  <c r="E147" i="76"/>
  <c r="K77" i="81" s="1"/>
  <c r="B148" i="76"/>
  <c r="C148" i="76"/>
  <c r="I78" i="81" s="1"/>
  <c r="D148" i="76"/>
  <c r="B149" i="76"/>
  <c r="C149" i="76"/>
  <c r="I79" i="81" s="1"/>
  <c r="E149" i="76"/>
  <c r="K79" i="81" s="1"/>
  <c r="C150" i="76"/>
  <c r="B151" i="76"/>
  <c r="C151" i="76"/>
  <c r="I81" i="81" s="1"/>
  <c r="B152" i="76"/>
  <c r="C152" i="76"/>
  <c r="D152" i="76"/>
  <c r="E152" i="76"/>
  <c r="K82" i="81" s="1"/>
  <c r="B153" i="76"/>
  <c r="C153" i="76"/>
  <c r="I83" i="81" s="1"/>
  <c r="D153" i="76"/>
  <c r="B154" i="76"/>
  <c r="C154" i="76"/>
  <c r="D154" i="76"/>
  <c r="E154" i="76"/>
  <c r="B155" i="76"/>
  <c r="C155" i="76"/>
  <c r="I85" i="81" s="1"/>
  <c r="E155" i="76"/>
  <c r="C144" i="76"/>
  <c r="I74" i="81" s="1"/>
  <c r="D144" i="76"/>
  <c r="J74" i="81" s="1"/>
  <c r="B144" i="76"/>
  <c r="C173" i="76"/>
  <c r="D172" i="76"/>
  <c r="D155" i="76" s="1"/>
  <c r="E170" i="76"/>
  <c r="E153" i="76" s="1"/>
  <c r="K83" i="81" s="1"/>
  <c r="E169" i="76"/>
  <c r="D168" i="76"/>
  <c r="D151" i="76" s="1"/>
  <c r="B168" i="76"/>
  <c r="D167" i="76"/>
  <c r="D150" i="76" s="1"/>
  <c r="B167" i="76"/>
  <c r="E166" i="76"/>
  <c r="D166" i="76"/>
  <c r="E165" i="76"/>
  <c r="E148" i="76" s="1"/>
  <c r="K78" i="81" s="1"/>
  <c r="E164" i="76"/>
  <c r="E163" i="76"/>
  <c r="B163" i="76"/>
  <c r="E162" i="76"/>
  <c r="E145" i="76" s="1"/>
  <c r="K75" i="81" s="1"/>
  <c r="E161" i="76"/>
  <c r="E144" i="76" s="1"/>
  <c r="K74" i="81" s="1"/>
  <c r="AD10" i="76"/>
  <c r="N139" i="76"/>
  <c r="M139" i="76"/>
  <c r="L139" i="76"/>
  <c r="K139" i="76"/>
  <c r="N119" i="76"/>
  <c r="M119" i="76"/>
  <c r="L119" i="76"/>
  <c r="K119" i="76"/>
  <c r="N103" i="76"/>
  <c r="M103" i="76"/>
  <c r="L103" i="76"/>
  <c r="K103" i="76"/>
  <c r="N85" i="76"/>
  <c r="N84" i="76"/>
  <c r="N83" i="76"/>
  <c r="N82" i="76"/>
  <c r="N81" i="76"/>
  <c r="N80" i="76"/>
  <c r="N79" i="76"/>
  <c r="N78" i="76"/>
  <c r="N77" i="76"/>
  <c r="N76" i="76"/>
  <c r="N75" i="76"/>
  <c r="N74" i="76"/>
  <c r="N86" i="76" s="1"/>
  <c r="Q14" i="76"/>
  <c r="P14" i="76"/>
  <c r="Q13" i="76"/>
  <c r="P13" i="76"/>
  <c r="Q12" i="76"/>
  <c r="P12" i="76"/>
  <c r="Q11" i="76"/>
  <c r="P11" i="76"/>
  <c r="Q10" i="76"/>
  <c r="P10" i="76"/>
  <c r="Q9" i="76"/>
  <c r="P9" i="76"/>
  <c r="Q8" i="76"/>
  <c r="P8" i="76"/>
  <c r="Q7" i="76"/>
  <c r="P7" i="76"/>
  <c r="Q6" i="76"/>
  <c r="P6" i="76"/>
  <c r="Q5" i="76"/>
  <c r="P5" i="76"/>
  <c r="Q4" i="76"/>
  <c r="P4" i="76"/>
  <c r="Q3" i="76"/>
  <c r="P3" i="76"/>
  <c r="E102" i="76"/>
  <c r="D102" i="76"/>
  <c r="C102" i="76"/>
  <c r="B102" i="76"/>
  <c r="E101" i="76"/>
  <c r="D101" i="76"/>
  <c r="C101" i="76"/>
  <c r="B101" i="76"/>
  <c r="E100" i="76"/>
  <c r="D100" i="76"/>
  <c r="C100" i="76"/>
  <c r="B100" i="76"/>
  <c r="E99" i="76"/>
  <c r="D99" i="76"/>
  <c r="C99" i="76"/>
  <c r="B99" i="76"/>
  <c r="E98" i="76"/>
  <c r="D98" i="76"/>
  <c r="C98" i="76"/>
  <c r="B98" i="76"/>
  <c r="E97" i="76"/>
  <c r="D97" i="76"/>
  <c r="C97" i="76"/>
  <c r="B97" i="76"/>
  <c r="E96" i="76"/>
  <c r="D96" i="76"/>
  <c r="C96" i="76"/>
  <c r="B96" i="76"/>
  <c r="E95" i="76"/>
  <c r="D95" i="76"/>
  <c r="C95" i="76"/>
  <c r="B95" i="76"/>
  <c r="E94" i="76"/>
  <c r="D94" i="76"/>
  <c r="C94" i="76"/>
  <c r="B94" i="76"/>
  <c r="E93" i="76"/>
  <c r="D93" i="76"/>
  <c r="C93" i="76"/>
  <c r="B93" i="76"/>
  <c r="E92" i="76"/>
  <c r="D92" i="76"/>
  <c r="C92" i="76"/>
  <c r="B92" i="76"/>
  <c r="E91" i="76"/>
  <c r="E103" i="76" s="1"/>
  <c r="D91" i="76"/>
  <c r="D103" i="76" s="1"/>
  <c r="C91" i="76"/>
  <c r="C103" i="76" s="1"/>
  <c r="E85" i="76"/>
  <c r="D85" i="76"/>
  <c r="C85" i="76"/>
  <c r="B85" i="76"/>
  <c r="E84" i="76"/>
  <c r="D84" i="76"/>
  <c r="C84" i="76"/>
  <c r="B84" i="76"/>
  <c r="E83" i="76"/>
  <c r="D83" i="76"/>
  <c r="C83" i="76"/>
  <c r="B83" i="76"/>
  <c r="E82" i="76"/>
  <c r="D82" i="76"/>
  <c r="C82" i="76"/>
  <c r="B82" i="76"/>
  <c r="E81" i="76"/>
  <c r="D81" i="76"/>
  <c r="C81" i="76"/>
  <c r="B81" i="76"/>
  <c r="E80" i="76"/>
  <c r="D80" i="76"/>
  <c r="C80" i="76"/>
  <c r="B80" i="76"/>
  <c r="E79" i="76"/>
  <c r="D79" i="76"/>
  <c r="C79" i="76"/>
  <c r="B79" i="76"/>
  <c r="E78" i="76"/>
  <c r="D78" i="76"/>
  <c r="C78" i="76"/>
  <c r="B78" i="76"/>
  <c r="E77" i="76"/>
  <c r="D77" i="76"/>
  <c r="C77" i="76"/>
  <c r="B77" i="76"/>
  <c r="E76" i="76"/>
  <c r="D76" i="76"/>
  <c r="C76" i="76"/>
  <c r="B76" i="76"/>
  <c r="E75" i="76"/>
  <c r="D75" i="76"/>
  <c r="C75" i="76"/>
  <c r="E74" i="76"/>
  <c r="D74" i="76"/>
  <c r="C74" i="76"/>
  <c r="D69" i="76"/>
  <c r="M85" i="76" s="1"/>
  <c r="C69" i="76"/>
  <c r="L85" i="76" s="1"/>
  <c r="B69" i="76"/>
  <c r="K85" i="76" s="1"/>
  <c r="D68" i="76"/>
  <c r="M84" i="76" s="1"/>
  <c r="C68" i="76"/>
  <c r="L84" i="76" s="1"/>
  <c r="P84" i="76" s="1"/>
  <c r="B68" i="76"/>
  <c r="K84" i="76" s="1"/>
  <c r="E67" i="76"/>
  <c r="D67" i="76"/>
  <c r="M83" i="76" s="1"/>
  <c r="C67" i="76"/>
  <c r="L83" i="76" s="1"/>
  <c r="P83" i="76" s="1"/>
  <c r="B67" i="76"/>
  <c r="K83" i="76" s="1"/>
  <c r="E66" i="76"/>
  <c r="D66" i="76"/>
  <c r="M82" i="76" s="1"/>
  <c r="C66" i="76"/>
  <c r="L82" i="76" s="1"/>
  <c r="P82" i="76" s="1"/>
  <c r="B66" i="76"/>
  <c r="K82" i="76" s="1"/>
  <c r="E65" i="76"/>
  <c r="D65" i="76"/>
  <c r="M81" i="76" s="1"/>
  <c r="C65" i="76"/>
  <c r="L81" i="76" s="1"/>
  <c r="P81" i="76" s="1"/>
  <c r="B65" i="76"/>
  <c r="K81" i="76" s="1"/>
  <c r="E64" i="76"/>
  <c r="D64" i="76"/>
  <c r="M80" i="76" s="1"/>
  <c r="C64" i="76"/>
  <c r="L80" i="76" s="1"/>
  <c r="P80" i="76" s="1"/>
  <c r="B64" i="76"/>
  <c r="K80" i="76" s="1"/>
  <c r="E63" i="76"/>
  <c r="D63" i="76"/>
  <c r="M79" i="76" s="1"/>
  <c r="C63" i="76"/>
  <c r="L79" i="76" s="1"/>
  <c r="P79" i="76" s="1"/>
  <c r="B63" i="76"/>
  <c r="K79" i="76" s="1"/>
  <c r="E62" i="76"/>
  <c r="D62" i="76"/>
  <c r="M78" i="76" s="1"/>
  <c r="C62" i="76"/>
  <c r="L78" i="76" s="1"/>
  <c r="P78" i="76" s="1"/>
  <c r="B62" i="76"/>
  <c r="K78" i="76" s="1"/>
  <c r="E61" i="76"/>
  <c r="D61" i="76"/>
  <c r="M77" i="76" s="1"/>
  <c r="C61" i="76"/>
  <c r="L77" i="76" s="1"/>
  <c r="P77" i="76" s="1"/>
  <c r="B61" i="76"/>
  <c r="K77" i="76" s="1"/>
  <c r="E60" i="76"/>
  <c r="D60" i="76"/>
  <c r="M76" i="76" s="1"/>
  <c r="C60" i="76"/>
  <c r="L76" i="76" s="1"/>
  <c r="P76" i="76" s="1"/>
  <c r="B60" i="76"/>
  <c r="K76" i="76" s="1"/>
  <c r="E59" i="76"/>
  <c r="D59" i="76"/>
  <c r="M75" i="76" s="1"/>
  <c r="C59" i="76"/>
  <c r="L75" i="76" s="1"/>
  <c r="P75" i="76" s="1"/>
  <c r="B59" i="76"/>
  <c r="K75" i="76" s="1"/>
  <c r="E58" i="76"/>
  <c r="D58" i="76"/>
  <c r="M74" i="76" s="1"/>
  <c r="C58" i="76"/>
  <c r="L74" i="76" s="1"/>
  <c r="L86" i="76" s="1"/>
  <c r="B58" i="76"/>
  <c r="K74" i="76" s="1"/>
  <c r="E37" i="76"/>
  <c r="D37" i="76"/>
  <c r="C37" i="76"/>
  <c r="B37" i="76"/>
  <c r="E36" i="76"/>
  <c r="D36" i="76"/>
  <c r="C36" i="76"/>
  <c r="B36" i="76"/>
  <c r="E34" i="76"/>
  <c r="D34" i="76"/>
  <c r="C34" i="76"/>
  <c r="B34" i="76"/>
  <c r="H33" i="76"/>
  <c r="G33" i="76"/>
  <c r="F33" i="76"/>
  <c r="H32" i="76"/>
  <c r="G32" i="76"/>
  <c r="F32" i="76"/>
  <c r="H31" i="76"/>
  <c r="G31" i="76"/>
  <c r="F31" i="76"/>
  <c r="H30" i="76"/>
  <c r="G30" i="76"/>
  <c r="F30" i="76"/>
  <c r="H29" i="76"/>
  <c r="G29" i="76"/>
  <c r="F29" i="76"/>
  <c r="H28" i="76"/>
  <c r="G28" i="76"/>
  <c r="F28" i="76"/>
  <c r="H27" i="76"/>
  <c r="G27" i="76"/>
  <c r="F27" i="76"/>
  <c r="H26" i="76"/>
  <c r="G26" i="76"/>
  <c r="F26" i="76"/>
  <c r="H25" i="76"/>
  <c r="G25" i="76"/>
  <c r="F25" i="76"/>
  <c r="H24" i="76"/>
  <c r="G24" i="76"/>
  <c r="F24" i="76"/>
  <c r="H23" i="76"/>
  <c r="G23" i="76"/>
  <c r="F23" i="76"/>
  <c r="H22" i="76"/>
  <c r="G22" i="76"/>
  <c r="F22" i="76"/>
  <c r="C103" i="77" l="1"/>
  <c r="L69" i="80"/>
  <c r="U69" i="80" s="1"/>
  <c r="L66" i="80"/>
  <c r="U66" i="80" s="1"/>
  <c r="L65" i="80"/>
  <c r="U65" i="80" s="1"/>
  <c r="L64" i="80"/>
  <c r="U64" i="80" s="1"/>
  <c r="C103" i="80"/>
  <c r="G135" i="77"/>
  <c r="G128" i="77"/>
  <c r="G127" i="77"/>
  <c r="AE5" i="76"/>
  <c r="U23" i="80"/>
  <c r="H128" i="77"/>
  <c r="L26" i="80"/>
  <c r="U26" i="80" s="1"/>
  <c r="U29" i="80"/>
  <c r="AD29" i="80" s="1"/>
  <c r="AD48" i="80" s="1"/>
  <c r="L59" i="80"/>
  <c r="D86" i="77"/>
  <c r="C86" i="77"/>
  <c r="L58" i="80"/>
  <c r="U58" i="80" s="1"/>
  <c r="AE58" i="80" s="1"/>
  <c r="U164" i="81" s="1"/>
  <c r="L61" i="80"/>
  <c r="M61" i="80"/>
  <c r="AE14" i="76"/>
  <c r="J85" i="81"/>
  <c r="M86" i="76"/>
  <c r="AE10" i="76"/>
  <c r="J81" i="81"/>
  <c r="Q85" i="76"/>
  <c r="O76" i="80"/>
  <c r="T76" i="80"/>
  <c r="AD76" i="80" s="1"/>
  <c r="T182" i="81" s="1"/>
  <c r="P77" i="80"/>
  <c r="T77" i="80"/>
  <c r="Q78" i="80"/>
  <c r="T78" i="80"/>
  <c r="AD78" i="80" s="1"/>
  <c r="T184" i="81" s="1"/>
  <c r="O79" i="80"/>
  <c r="T79" i="80"/>
  <c r="O80" i="80"/>
  <c r="T80" i="80"/>
  <c r="AD80" i="80" s="1"/>
  <c r="T186" i="81" s="1"/>
  <c r="P81" i="80"/>
  <c r="T81" i="80"/>
  <c r="O84" i="80"/>
  <c r="T84" i="80"/>
  <c r="AD84" i="80" s="1"/>
  <c r="T190" i="81" s="1"/>
  <c r="O85" i="80"/>
  <c r="T85" i="80"/>
  <c r="Q74" i="76"/>
  <c r="O75" i="76"/>
  <c r="Q76" i="76"/>
  <c r="O77" i="76"/>
  <c r="Q78" i="76"/>
  <c r="O79" i="76"/>
  <c r="Q80" i="76"/>
  <c r="O81" i="76"/>
  <c r="Q82" i="76"/>
  <c r="O83" i="76"/>
  <c r="Q84" i="76"/>
  <c r="P85" i="76"/>
  <c r="AE9" i="76"/>
  <c r="J80" i="81"/>
  <c r="P76" i="80"/>
  <c r="U76" i="80"/>
  <c r="P78" i="80"/>
  <c r="U78" i="80"/>
  <c r="AE78" i="80" s="1"/>
  <c r="U184" i="81" s="1"/>
  <c r="P80" i="80"/>
  <c r="U80" i="80"/>
  <c r="P82" i="80"/>
  <c r="U82" i="80"/>
  <c r="AE82" i="80" s="1"/>
  <c r="U188" i="81" s="1"/>
  <c r="P84" i="80"/>
  <c r="U84" i="80"/>
  <c r="U61" i="80"/>
  <c r="AE61" i="80" s="1"/>
  <c r="U167" i="81" s="1"/>
  <c r="Q74" i="80"/>
  <c r="T74" i="80"/>
  <c r="O75" i="80"/>
  <c r="Q82" i="80"/>
  <c r="T82" i="80"/>
  <c r="AD82" i="80" s="1"/>
  <c r="T188" i="81" s="1"/>
  <c r="O83" i="80"/>
  <c r="T83" i="80"/>
  <c r="AF14" i="76"/>
  <c r="K85" i="81"/>
  <c r="E86" i="77"/>
  <c r="F37" i="76"/>
  <c r="D173" i="76"/>
  <c r="E168" i="76"/>
  <c r="E151" i="76" s="1"/>
  <c r="K81" i="81" s="1"/>
  <c r="AE13" i="76"/>
  <c r="J84" i="81"/>
  <c r="AE12" i="76"/>
  <c r="J83" i="81"/>
  <c r="AE11" i="76"/>
  <c r="J82" i="81"/>
  <c r="D149" i="76"/>
  <c r="AE7" i="76"/>
  <c r="J78" i="81"/>
  <c r="AE6" i="76"/>
  <c r="J77" i="81"/>
  <c r="AE4" i="76"/>
  <c r="J75" i="81"/>
  <c r="H136" i="77"/>
  <c r="O85" i="81"/>
  <c r="B149" i="77"/>
  <c r="N79" i="81" s="1"/>
  <c r="G125" i="77"/>
  <c r="N74" i="81"/>
  <c r="AF8" i="77"/>
  <c r="B86" i="77"/>
  <c r="H36" i="80"/>
  <c r="G37" i="80"/>
  <c r="G36" i="80"/>
  <c r="L60" i="80"/>
  <c r="L74" i="80"/>
  <c r="C139" i="80"/>
  <c r="AD3" i="80"/>
  <c r="AD15" i="80" s="1"/>
  <c r="AD23" i="80"/>
  <c r="AD42" i="80" s="1"/>
  <c r="AD4" i="80"/>
  <c r="AD5" i="80"/>
  <c r="AD6" i="80"/>
  <c r="AD7" i="80"/>
  <c r="AD26" i="80"/>
  <c r="AD45" i="80" s="1"/>
  <c r="AD27" i="80"/>
  <c r="AD46" i="80" s="1"/>
  <c r="AD8" i="80"/>
  <c r="AD28" i="80"/>
  <c r="AD47" i="80" s="1"/>
  <c r="AD9" i="80"/>
  <c r="AD10" i="80"/>
  <c r="AD30" i="80"/>
  <c r="AD49" i="80" s="1"/>
  <c r="AD11" i="80"/>
  <c r="AD12" i="80"/>
  <c r="AD32" i="80"/>
  <c r="AD51" i="80" s="1"/>
  <c r="AD13" i="80"/>
  <c r="AD14" i="80"/>
  <c r="U59" i="80"/>
  <c r="AE59" i="80" s="1"/>
  <c r="U165" i="81" s="1"/>
  <c r="AC3" i="76"/>
  <c r="H74" i="81"/>
  <c r="AF13" i="76"/>
  <c r="K84" i="81"/>
  <c r="G126" i="77"/>
  <c r="N75" i="81"/>
  <c r="B139" i="77"/>
  <c r="G37" i="76"/>
  <c r="W33" i="76"/>
  <c r="AD13" i="76"/>
  <c r="AI13" i="76" s="1"/>
  <c r="I84" i="81"/>
  <c r="AD11" i="76"/>
  <c r="I82" i="81"/>
  <c r="AD9" i="76"/>
  <c r="I80" i="81"/>
  <c r="AE3" i="76"/>
  <c r="AD14" i="76"/>
  <c r="AD12" i="76"/>
  <c r="AD8" i="76"/>
  <c r="AD7" i="76"/>
  <c r="AD5" i="76"/>
  <c r="AD4" i="76"/>
  <c r="B103" i="76"/>
  <c r="H37" i="80"/>
  <c r="V30" i="80"/>
  <c r="M74" i="80"/>
  <c r="M86" i="80" s="1"/>
  <c r="M65" i="80"/>
  <c r="M63" i="80"/>
  <c r="M64" i="80"/>
  <c r="U63" i="80"/>
  <c r="AE63" i="80" s="1"/>
  <c r="U169" i="81" s="1"/>
  <c r="G134" i="77"/>
  <c r="N83" i="81"/>
  <c r="H37" i="76"/>
  <c r="N69" i="76"/>
  <c r="W69" i="76" s="1"/>
  <c r="AG69" i="76" s="1"/>
  <c r="E173" i="76"/>
  <c r="E167" i="76"/>
  <c r="E150" i="76" s="1"/>
  <c r="K80" i="81" s="1"/>
  <c r="AC14" i="76"/>
  <c r="H85" i="81"/>
  <c r="AC13" i="76"/>
  <c r="H84" i="81"/>
  <c r="AC12" i="76"/>
  <c r="H83" i="81"/>
  <c r="AC11" i="76"/>
  <c r="H82" i="81"/>
  <c r="AC10" i="76"/>
  <c r="H81" i="81"/>
  <c r="B150" i="76"/>
  <c r="AC8" i="76"/>
  <c r="H79" i="81"/>
  <c r="AC7" i="76"/>
  <c r="H78" i="81"/>
  <c r="AC6" i="76"/>
  <c r="H77" i="81"/>
  <c r="AC5" i="76"/>
  <c r="H76" i="81"/>
  <c r="AC4" i="76"/>
  <c r="H75" i="81"/>
  <c r="D139" i="77"/>
  <c r="F36" i="80"/>
  <c r="L22" i="80"/>
  <c r="U22" i="80" s="1"/>
  <c r="AD22" i="80" s="1"/>
  <c r="M26" i="80"/>
  <c r="V26" i="80" s="1"/>
  <c r="N74" i="80"/>
  <c r="N86" i="80" s="1"/>
  <c r="E156" i="80"/>
  <c r="W86" i="81" s="1"/>
  <c r="W74" i="81"/>
  <c r="B70" i="77"/>
  <c r="G130" i="77"/>
  <c r="D156" i="77"/>
  <c r="P86" i="81" s="1"/>
  <c r="G136" i="77"/>
  <c r="AE6" i="77"/>
  <c r="AF10" i="77"/>
  <c r="H36" i="77"/>
  <c r="G37" i="77"/>
  <c r="AD14" i="77"/>
  <c r="AD10" i="77"/>
  <c r="AD9" i="77"/>
  <c r="AD8" i="77"/>
  <c r="P75" i="77"/>
  <c r="Q75" i="77"/>
  <c r="P83" i="77"/>
  <c r="Q83" i="77"/>
  <c r="P81" i="77"/>
  <c r="Q81" i="77"/>
  <c r="H37" i="77"/>
  <c r="B152" i="77"/>
  <c r="AF3" i="77"/>
  <c r="AE14" i="77"/>
  <c r="AI14" i="77" s="1"/>
  <c r="AE13" i="77"/>
  <c r="AE11" i="77"/>
  <c r="AE10" i="77"/>
  <c r="AE9" i="77"/>
  <c r="AE8" i="77"/>
  <c r="AE5" i="77"/>
  <c r="AE4" i="77"/>
  <c r="M74" i="77"/>
  <c r="M86" i="77" s="1"/>
  <c r="AD13" i="77"/>
  <c r="AD11" i="77"/>
  <c r="AD7" i="77"/>
  <c r="AD6" i="77"/>
  <c r="AD4" i="77"/>
  <c r="N74" i="77"/>
  <c r="N86" i="77" s="1"/>
  <c r="G36" i="77"/>
  <c r="F37" i="77"/>
  <c r="C70" i="77"/>
  <c r="AD3" i="77"/>
  <c r="AC14" i="77"/>
  <c r="AC13" i="77"/>
  <c r="AG13" i="77" s="1"/>
  <c r="AC12" i="77"/>
  <c r="AG12" i="77" s="1"/>
  <c r="AC11" i="77"/>
  <c r="AC6" i="77"/>
  <c r="AG6" i="77" s="1"/>
  <c r="AC5" i="77"/>
  <c r="AC4" i="77"/>
  <c r="K74" i="77"/>
  <c r="AF11" i="77"/>
  <c r="AF9" i="77"/>
  <c r="AF7" i="77"/>
  <c r="AF6" i="77"/>
  <c r="AF5" i="77"/>
  <c r="AF4" i="77"/>
  <c r="AC3" i="77"/>
  <c r="L74" i="77"/>
  <c r="L86" i="77" s="1"/>
  <c r="V23" i="80"/>
  <c r="M69" i="80"/>
  <c r="N22" i="80"/>
  <c r="N58" i="80"/>
  <c r="K59" i="80"/>
  <c r="K64" i="80"/>
  <c r="K66" i="80"/>
  <c r="K67" i="80"/>
  <c r="K69" i="80"/>
  <c r="K29" i="80"/>
  <c r="K37" i="80" s="1"/>
  <c r="B86" i="80"/>
  <c r="K61" i="80"/>
  <c r="C86" i="80"/>
  <c r="M29" i="80"/>
  <c r="V29" i="80" s="1"/>
  <c r="D74" i="80"/>
  <c r="D86" i="80" s="1"/>
  <c r="M68" i="80"/>
  <c r="M66" i="80"/>
  <c r="M60" i="80"/>
  <c r="E77" i="80"/>
  <c r="E80" i="80"/>
  <c r="N64" i="80" s="1"/>
  <c r="E79" i="80"/>
  <c r="N27" i="80" s="1"/>
  <c r="W27" i="80" s="1"/>
  <c r="E81" i="80"/>
  <c r="N65" i="80" s="1"/>
  <c r="E82" i="80"/>
  <c r="E84" i="80"/>
  <c r="N32" i="80" s="1"/>
  <c r="W32" i="80" s="1"/>
  <c r="E85" i="80"/>
  <c r="N69" i="80" s="1"/>
  <c r="K63" i="80"/>
  <c r="N67" i="80"/>
  <c r="N62" i="80"/>
  <c r="B139" i="80"/>
  <c r="K60" i="80"/>
  <c r="K68" i="80"/>
  <c r="K62" i="80"/>
  <c r="P62" i="80" s="1"/>
  <c r="K65" i="80"/>
  <c r="Q65" i="80" s="1"/>
  <c r="T27" i="80"/>
  <c r="W33" i="80"/>
  <c r="E103" i="80"/>
  <c r="V28" i="80"/>
  <c r="V32" i="80"/>
  <c r="D103" i="80"/>
  <c r="W23" i="80"/>
  <c r="V24" i="80"/>
  <c r="W31" i="80"/>
  <c r="W24" i="80"/>
  <c r="N59" i="80"/>
  <c r="K22" i="80"/>
  <c r="T22" i="80" s="1"/>
  <c r="K58" i="80"/>
  <c r="V25" i="80"/>
  <c r="Q24" i="80"/>
  <c r="T25" i="80"/>
  <c r="N29" i="80"/>
  <c r="W29" i="80" s="1"/>
  <c r="N60" i="80"/>
  <c r="N26" i="80"/>
  <c r="W26" i="80" s="1"/>
  <c r="P29" i="80"/>
  <c r="M31" i="80"/>
  <c r="V31" i="80" s="1"/>
  <c r="M33" i="80"/>
  <c r="V33" i="80" s="1"/>
  <c r="M59" i="80"/>
  <c r="N63" i="80"/>
  <c r="T31" i="80"/>
  <c r="P33" i="80"/>
  <c r="O23" i="80"/>
  <c r="O24" i="80"/>
  <c r="T24" i="80"/>
  <c r="T29" i="80"/>
  <c r="Z5" i="80"/>
  <c r="P23" i="80"/>
  <c r="U24" i="80"/>
  <c r="AD24" i="80" s="1"/>
  <c r="U25" i="80"/>
  <c r="AD25" i="80" s="1"/>
  <c r="L37" i="80"/>
  <c r="T28" i="80"/>
  <c r="Q23" i="80"/>
  <c r="P24" i="80"/>
  <c r="T30" i="80"/>
  <c r="T23" i="80"/>
  <c r="L34" i="80"/>
  <c r="T26" i="80"/>
  <c r="Q29" i="80"/>
  <c r="U31" i="80"/>
  <c r="AD31" i="80" s="1"/>
  <c r="T32" i="80"/>
  <c r="T33" i="80"/>
  <c r="O32" i="80"/>
  <c r="O33" i="80"/>
  <c r="U33" i="80"/>
  <c r="P32" i="80"/>
  <c r="AE62" i="80"/>
  <c r="U168" i="81" s="1"/>
  <c r="AE66" i="80"/>
  <c r="U172" i="81" s="1"/>
  <c r="AE68" i="80"/>
  <c r="U174" i="81" s="1"/>
  <c r="O74" i="80"/>
  <c r="P75" i="80"/>
  <c r="Q76" i="80"/>
  <c r="O78" i="80"/>
  <c r="P79" i="80"/>
  <c r="Q80" i="80"/>
  <c r="O82" i="80"/>
  <c r="P83" i="80"/>
  <c r="Q84" i="80"/>
  <c r="P85" i="80"/>
  <c r="K86" i="80"/>
  <c r="P74" i="80"/>
  <c r="Q75" i="80"/>
  <c r="O77" i="80"/>
  <c r="Q79" i="80"/>
  <c r="O81" i="80"/>
  <c r="Q83" i="80"/>
  <c r="Q85" i="80"/>
  <c r="AD74" i="80"/>
  <c r="T180" i="81" s="1"/>
  <c r="AE84" i="80"/>
  <c r="U190" i="81" s="1"/>
  <c r="B139" i="76"/>
  <c r="E139" i="76"/>
  <c r="AF12" i="76"/>
  <c r="AF11" i="76"/>
  <c r="AF10" i="76"/>
  <c r="AF8" i="76"/>
  <c r="AF7" i="76"/>
  <c r="AF6" i="76"/>
  <c r="AH6" i="76" s="1"/>
  <c r="AF5" i="76"/>
  <c r="AF4" i="76"/>
  <c r="F34" i="80"/>
  <c r="K58" i="77"/>
  <c r="K22" i="77"/>
  <c r="N69" i="77"/>
  <c r="N68" i="77"/>
  <c r="N32" i="77"/>
  <c r="W32" i="77" s="1"/>
  <c r="N67" i="77"/>
  <c r="N31" i="77"/>
  <c r="W31" i="77" s="1"/>
  <c r="N66" i="77"/>
  <c r="N30" i="77"/>
  <c r="W30" i="77" s="1"/>
  <c r="N65" i="77"/>
  <c r="N29" i="77"/>
  <c r="W29" i="77" s="1"/>
  <c r="N64" i="77"/>
  <c r="N28" i="77"/>
  <c r="W28" i="77" s="1"/>
  <c r="N63" i="77"/>
  <c r="N27" i="77"/>
  <c r="W27" i="77" s="1"/>
  <c r="N62" i="77"/>
  <c r="N26" i="77"/>
  <c r="W26" i="77" s="1"/>
  <c r="N61" i="77"/>
  <c r="N25" i="77"/>
  <c r="N60" i="77"/>
  <c r="N24" i="77"/>
  <c r="W24" i="77" s="1"/>
  <c r="N59" i="77"/>
  <c r="N23" i="77"/>
  <c r="W23" i="77" s="1"/>
  <c r="N58" i="77"/>
  <c r="N22" i="77"/>
  <c r="M69" i="77"/>
  <c r="M33" i="77"/>
  <c r="V33" i="77" s="1"/>
  <c r="M68" i="77"/>
  <c r="M32" i="77"/>
  <c r="V32" i="77" s="1"/>
  <c r="M31" i="77"/>
  <c r="V31" i="77" s="1"/>
  <c r="M67" i="77"/>
  <c r="M66" i="77"/>
  <c r="M30" i="77"/>
  <c r="V30" i="77" s="1"/>
  <c r="M65" i="77"/>
  <c r="M29" i="77"/>
  <c r="V29" i="77" s="1"/>
  <c r="M64" i="77"/>
  <c r="M28" i="77"/>
  <c r="V28" i="77" s="1"/>
  <c r="M63" i="77"/>
  <c r="M27" i="77"/>
  <c r="V27" i="77" s="1"/>
  <c r="M62" i="77"/>
  <c r="M26" i="77"/>
  <c r="V26" i="77" s="1"/>
  <c r="M61" i="77"/>
  <c r="M25" i="77"/>
  <c r="M60" i="77"/>
  <c r="M24" i="77"/>
  <c r="V24" i="77" s="1"/>
  <c r="M59" i="77"/>
  <c r="M23" i="77"/>
  <c r="V23" i="77" s="1"/>
  <c r="B103" i="77"/>
  <c r="M58" i="77"/>
  <c r="M22" i="77"/>
  <c r="L69" i="77"/>
  <c r="L33" i="77"/>
  <c r="U33" i="77" s="1"/>
  <c r="L68" i="77"/>
  <c r="L32" i="77"/>
  <c r="U32" i="77" s="1"/>
  <c r="L67" i="77"/>
  <c r="L31" i="77"/>
  <c r="U31" i="77" s="1"/>
  <c r="L66" i="77"/>
  <c r="L30" i="77"/>
  <c r="U30" i="77" s="1"/>
  <c r="L65" i="77"/>
  <c r="L29" i="77"/>
  <c r="U29" i="77" s="1"/>
  <c r="L64" i="77"/>
  <c r="L28" i="77"/>
  <c r="U28" i="77" s="1"/>
  <c r="L63" i="77"/>
  <c r="L27" i="77"/>
  <c r="U27" i="77" s="1"/>
  <c r="L62" i="77"/>
  <c r="L26" i="77"/>
  <c r="U26" i="77" s="1"/>
  <c r="L61" i="77"/>
  <c r="L25" i="77"/>
  <c r="L60" i="77"/>
  <c r="L24" i="77"/>
  <c r="U24" i="77" s="1"/>
  <c r="L59" i="77"/>
  <c r="L23" i="77"/>
  <c r="U23" i="77" s="1"/>
  <c r="AE3" i="77"/>
  <c r="W33" i="77"/>
  <c r="L58" i="77"/>
  <c r="L22" i="77"/>
  <c r="K69" i="77"/>
  <c r="K33" i="77"/>
  <c r="K32" i="77"/>
  <c r="K68" i="77"/>
  <c r="K67" i="77"/>
  <c r="K31" i="77"/>
  <c r="K66" i="77"/>
  <c r="K30" i="77"/>
  <c r="K65" i="77"/>
  <c r="K29" i="77"/>
  <c r="K64" i="77"/>
  <c r="K28" i="77"/>
  <c r="K63" i="77"/>
  <c r="K27" i="77"/>
  <c r="K62" i="77"/>
  <c r="K26" i="77"/>
  <c r="K61" i="77"/>
  <c r="K25" i="77"/>
  <c r="K60" i="77"/>
  <c r="K24" i="77"/>
  <c r="K59" i="77"/>
  <c r="K23" i="77"/>
  <c r="Q82" i="77"/>
  <c r="P82" i="77"/>
  <c r="O82" i="77"/>
  <c r="Q80" i="77"/>
  <c r="P80" i="77"/>
  <c r="O80" i="77"/>
  <c r="K86" i="77"/>
  <c r="Q78" i="77"/>
  <c r="P78" i="77"/>
  <c r="O78" i="77"/>
  <c r="P79" i="77"/>
  <c r="Q79" i="77"/>
  <c r="Q85" i="77"/>
  <c r="P85" i="77"/>
  <c r="O85" i="77"/>
  <c r="Q76" i="77"/>
  <c r="P76" i="77"/>
  <c r="O76" i="77"/>
  <c r="P77" i="77"/>
  <c r="Q77" i="77"/>
  <c r="Q84" i="77"/>
  <c r="P84" i="77"/>
  <c r="O84" i="77"/>
  <c r="O75" i="77"/>
  <c r="O77" i="77"/>
  <c r="O79" i="77"/>
  <c r="O81" i="77"/>
  <c r="O83" i="77"/>
  <c r="C156" i="77"/>
  <c r="O86" i="81" s="1"/>
  <c r="B148" i="77"/>
  <c r="H135" i="77"/>
  <c r="H133" i="77"/>
  <c r="H132" i="77"/>
  <c r="H129" i="77"/>
  <c r="H126" i="77"/>
  <c r="F36" i="77"/>
  <c r="B150" i="77"/>
  <c r="B151" i="77"/>
  <c r="D139" i="76"/>
  <c r="H130" i="77"/>
  <c r="E103" i="77"/>
  <c r="C139" i="77"/>
  <c r="C156" i="76"/>
  <c r="I86" i="81" s="1"/>
  <c r="H125" i="77"/>
  <c r="E139" i="77"/>
  <c r="B173" i="77"/>
  <c r="E173" i="77"/>
  <c r="AD3" i="76"/>
  <c r="AF3" i="76"/>
  <c r="B173" i="76"/>
  <c r="B156" i="76"/>
  <c r="H86" i="81" s="1"/>
  <c r="AG14" i="76"/>
  <c r="B86" i="76"/>
  <c r="K58" i="76"/>
  <c r="K22" i="76"/>
  <c r="K59" i="76"/>
  <c r="K23" i="76"/>
  <c r="K60" i="76"/>
  <c r="K24" i="76"/>
  <c r="K61" i="76"/>
  <c r="K25" i="76"/>
  <c r="K62" i="76"/>
  <c r="K26" i="76"/>
  <c r="K63" i="76"/>
  <c r="K27" i="76"/>
  <c r="K64" i="76"/>
  <c r="K28" i="76"/>
  <c r="K65" i="76"/>
  <c r="K29" i="76"/>
  <c r="K66" i="76"/>
  <c r="K30" i="76"/>
  <c r="K67" i="76"/>
  <c r="K31" i="76"/>
  <c r="K68" i="76"/>
  <c r="K32" i="76"/>
  <c r="K69" i="76"/>
  <c r="K33" i="76"/>
  <c r="C86" i="76"/>
  <c r="L58" i="76"/>
  <c r="L22" i="76"/>
  <c r="L59" i="76"/>
  <c r="L23" i="76"/>
  <c r="U23" i="76" s="1"/>
  <c r="L60" i="76"/>
  <c r="L24" i="76"/>
  <c r="U24" i="76" s="1"/>
  <c r="L61" i="76"/>
  <c r="L25" i="76"/>
  <c r="L62" i="76"/>
  <c r="L26" i="76"/>
  <c r="U26" i="76" s="1"/>
  <c r="L63" i="76"/>
  <c r="L27" i="76"/>
  <c r="U27" i="76" s="1"/>
  <c r="L64" i="76"/>
  <c r="L28" i="76"/>
  <c r="U28" i="76" s="1"/>
  <c r="L65" i="76"/>
  <c r="L29" i="76"/>
  <c r="U29" i="76" s="1"/>
  <c r="L30" i="76"/>
  <c r="U30" i="76" s="1"/>
  <c r="L66" i="76"/>
  <c r="L67" i="76"/>
  <c r="L31" i="76"/>
  <c r="U31" i="76" s="1"/>
  <c r="L32" i="76"/>
  <c r="U32" i="76" s="1"/>
  <c r="L68" i="76"/>
  <c r="L69" i="76"/>
  <c r="L33" i="76"/>
  <c r="U33" i="76" s="1"/>
  <c r="D86" i="76"/>
  <c r="M22" i="76"/>
  <c r="M58" i="76"/>
  <c r="M23" i="76"/>
  <c r="V23" i="76" s="1"/>
  <c r="M59" i="76"/>
  <c r="M24" i="76"/>
  <c r="V24" i="76" s="1"/>
  <c r="M60" i="76"/>
  <c r="M61" i="76"/>
  <c r="M25" i="76"/>
  <c r="M62" i="76"/>
  <c r="M26" i="76"/>
  <c r="V26" i="76" s="1"/>
  <c r="M63" i="76"/>
  <c r="M27" i="76"/>
  <c r="V27" i="76" s="1"/>
  <c r="M64" i="76"/>
  <c r="M28" i="76"/>
  <c r="V28" i="76" s="1"/>
  <c r="M65" i="76"/>
  <c r="M29" i="76"/>
  <c r="V29" i="76" s="1"/>
  <c r="M66" i="76"/>
  <c r="M30" i="76"/>
  <c r="V30" i="76" s="1"/>
  <c r="M67" i="76"/>
  <c r="M31" i="76"/>
  <c r="V31" i="76" s="1"/>
  <c r="M68" i="76"/>
  <c r="M32" i="76"/>
  <c r="V32" i="76" s="1"/>
  <c r="M69" i="76"/>
  <c r="M33" i="76"/>
  <c r="V33" i="76" s="1"/>
  <c r="E86" i="76"/>
  <c r="N58" i="76"/>
  <c r="N22" i="76"/>
  <c r="N59" i="76"/>
  <c r="N23" i="76"/>
  <c r="W23" i="76" s="1"/>
  <c r="N60" i="76"/>
  <c r="N24" i="76"/>
  <c r="W24" i="76" s="1"/>
  <c r="N61" i="76"/>
  <c r="N25" i="76"/>
  <c r="N62" i="76"/>
  <c r="N26" i="76"/>
  <c r="W26" i="76" s="1"/>
  <c r="N27" i="76"/>
  <c r="W27" i="76" s="1"/>
  <c r="N63" i="76"/>
  <c r="N64" i="76"/>
  <c r="N28" i="76"/>
  <c r="W28" i="76" s="1"/>
  <c r="N65" i="76"/>
  <c r="N29" i="76"/>
  <c r="W29" i="76" s="1"/>
  <c r="N30" i="76"/>
  <c r="W30" i="76" s="1"/>
  <c r="N66" i="76"/>
  <c r="N31" i="76"/>
  <c r="W31" i="76" s="1"/>
  <c r="N67" i="76"/>
  <c r="N68" i="76"/>
  <c r="W68" i="76" s="1"/>
  <c r="AG68" i="76" s="1"/>
  <c r="N32" i="76"/>
  <c r="W32" i="76" s="1"/>
  <c r="AF32" i="76" s="1"/>
  <c r="AI14" i="76"/>
  <c r="O74" i="76"/>
  <c r="Q75" i="76"/>
  <c r="O76" i="76"/>
  <c r="Q77" i="76"/>
  <c r="O78" i="76"/>
  <c r="Q79" i="76"/>
  <c r="O80" i="76"/>
  <c r="Q81" i="76"/>
  <c r="O82" i="76"/>
  <c r="Q83" i="76"/>
  <c r="O84" i="76"/>
  <c r="O85" i="76"/>
  <c r="K86" i="76"/>
  <c r="P74" i="76"/>
  <c r="G36" i="76"/>
  <c r="F36" i="76"/>
  <c r="E70" i="76"/>
  <c r="H36" i="76"/>
  <c r="C70" i="76"/>
  <c r="D70" i="76"/>
  <c r="B70" i="76"/>
  <c r="C127" i="74"/>
  <c r="D127" i="74"/>
  <c r="E127" i="74"/>
  <c r="C128" i="74"/>
  <c r="D128" i="74"/>
  <c r="E128" i="74"/>
  <c r="C129" i="74"/>
  <c r="D129" i="74"/>
  <c r="E129" i="74"/>
  <c r="C130" i="74"/>
  <c r="D130" i="74"/>
  <c r="E130" i="74"/>
  <c r="C131" i="74"/>
  <c r="D131" i="74"/>
  <c r="E131" i="74"/>
  <c r="C132" i="74"/>
  <c r="D132" i="74"/>
  <c r="E132" i="74"/>
  <c r="C133" i="74"/>
  <c r="D133" i="74"/>
  <c r="E133" i="74"/>
  <c r="C134" i="74"/>
  <c r="D134" i="74"/>
  <c r="E134" i="74"/>
  <c r="C135" i="74"/>
  <c r="D135" i="74"/>
  <c r="E135" i="74"/>
  <c r="C136" i="74"/>
  <c r="D136" i="74"/>
  <c r="E136" i="74"/>
  <c r="C137" i="74"/>
  <c r="D137" i="74"/>
  <c r="E137" i="74"/>
  <c r="C138" i="74"/>
  <c r="D138" i="74"/>
  <c r="E138" i="74"/>
  <c r="B128" i="74"/>
  <c r="B129" i="74"/>
  <c r="B130" i="74"/>
  <c r="B131" i="74"/>
  <c r="B132" i="74"/>
  <c r="B133" i="74"/>
  <c r="B134" i="74"/>
  <c r="B135" i="74"/>
  <c r="B136" i="74"/>
  <c r="B137" i="74"/>
  <c r="B138" i="74"/>
  <c r="B127" i="74"/>
  <c r="N139" i="74"/>
  <c r="M139" i="74"/>
  <c r="L139" i="74"/>
  <c r="K139" i="74"/>
  <c r="C74" i="74"/>
  <c r="L22" i="74" s="1"/>
  <c r="D74" i="74"/>
  <c r="M22" i="74" s="1"/>
  <c r="E74" i="74"/>
  <c r="C75" i="74"/>
  <c r="L23" i="74" s="1"/>
  <c r="D75" i="74"/>
  <c r="M23" i="74" s="1"/>
  <c r="E75" i="74"/>
  <c r="N23" i="74" s="1"/>
  <c r="C76" i="74"/>
  <c r="L24" i="74" s="1"/>
  <c r="D76" i="74"/>
  <c r="E76" i="74"/>
  <c r="N24" i="74" s="1"/>
  <c r="C77" i="74"/>
  <c r="L25" i="74" s="1"/>
  <c r="D77" i="74"/>
  <c r="E77" i="74"/>
  <c r="C78" i="74"/>
  <c r="L26" i="74" s="1"/>
  <c r="D78" i="74"/>
  <c r="M26" i="74" s="1"/>
  <c r="E78" i="74"/>
  <c r="C79" i="74"/>
  <c r="L27" i="74" s="1"/>
  <c r="D79" i="74"/>
  <c r="M27" i="74" s="1"/>
  <c r="E79" i="74"/>
  <c r="N27" i="74" s="1"/>
  <c r="C80" i="74"/>
  <c r="D80" i="74"/>
  <c r="E80" i="74"/>
  <c r="N28" i="74" s="1"/>
  <c r="W28" i="74" s="1"/>
  <c r="C81" i="74"/>
  <c r="L29" i="74" s="1"/>
  <c r="D81" i="74"/>
  <c r="E81" i="74"/>
  <c r="N29" i="74" s="1"/>
  <c r="C82" i="74"/>
  <c r="L30" i="74" s="1"/>
  <c r="D82" i="74"/>
  <c r="M30" i="74" s="1"/>
  <c r="E82" i="74"/>
  <c r="C83" i="74"/>
  <c r="L31" i="74" s="1"/>
  <c r="D83" i="74"/>
  <c r="M31" i="74" s="1"/>
  <c r="E83" i="74"/>
  <c r="N31" i="74" s="1"/>
  <c r="C84" i="74"/>
  <c r="L32" i="74" s="1"/>
  <c r="D84" i="74"/>
  <c r="E84" i="74"/>
  <c r="N32" i="74" s="1"/>
  <c r="C85" i="74"/>
  <c r="L33" i="74" s="1"/>
  <c r="D85" i="74"/>
  <c r="M33" i="74" s="1"/>
  <c r="E85" i="74"/>
  <c r="B75" i="74"/>
  <c r="K23" i="74" s="1"/>
  <c r="B76" i="74"/>
  <c r="K24" i="74" s="1"/>
  <c r="B77" i="74"/>
  <c r="K25" i="74" s="1"/>
  <c r="B78" i="74"/>
  <c r="B79" i="74"/>
  <c r="K27" i="74" s="1"/>
  <c r="B80" i="74"/>
  <c r="K28" i="74" s="1"/>
  <c r="B81" i="74"/>
  <c r="B82" i="74"/>
  <c r="B83" i="74"/>
  <c r="K31" i="74" s="1"/>
  <c r="B84" i="74"/>
  <c r="K32" i="74" s="1"/>
  <c r="B85" i="74"/>
  <c r="K33" i="74" s="1"/>
  <c r="B74" i="74"/>
  <c r="N119" i="74"/>
  <c r="M119" i="74"/>
  <c r="L119" i="74"/>
  <c r="K119" i="74"/>
  <c r="B92" i="74"/>
  <c r="C92" i="74"/>
  <c r="D92" i="74"/>
  <c r="E92" i="74"/>
  <c r="B93" i="74"/>
  <c r="C93" i="74"/>
  <c r="D93" i="74"/>
  <c r="E93" i="74"/>
  <c r="B94" i="74"/>
  <c r="C94" i="74"/>
  <c r="L61" i="74" s="1"/>
  <c r="D94" i="74"/>
  <c r="E94" i="74"/>
  <c r="B95" i="74"/>
  <c r="C95" i="74"/>
  <c r="D95" i="74"/>
  <c r="E95" i="74"/>
  <c r="B96" i="74"/>
  <c r="C96" i="74"/>
  <c r="D96" i="74"/>
  <c r="E96" i="74"/>
  <c r="B97" i="74"/>
  <c r="C97" i="74"/>
  <c r="D97" i="74"/>
  <c r="E97" i="74"/>
  <c r="B98" i="74"/>
  <c r="C98" i="74"/>
  <c r="D98" i="74"/>
  <c r="E98" i="74"/>
  <c r="B99" i="74"/>
  <c r="C99" i="74"/>
  <c r="D99" i="74"/>
  <c r="E99" i="74"/>
  <c r="B100" i="74"/>
  <c r="C100" i="74"/>
  <c r="D100" i="74"/>
  <c r="E100" i="74"/>
  <c r="B101" i="74"/>
  <c r="C101" i="74"/>
  <c r="D101" i="74"/>
  <c r="E101" i="74"/>
  <c r="B102" i="74"/>
  <c r="C102" i="74"/>
  <c r="D102" i="74"/>
  <c r="E102" i="74"/>
  <c r="C91" i="74"/>
  <c r="D91" i="74"/>
  <c r="M58" i="74" s="1"/>
  <c r="E91" i="74"/>
  <c r="B91" i="74"/>
  <c r="N103" i="74"/>
  <c r="M103" i="74"/>
  <c r="L103" i="74"/>
  <c r="K103" i="74"/>
  <c r="B145" i="74"/>
  <c r="B75" i="81" s="1"/>
  <c r="C145" i="74"/>
  <c r="C75" i="81" s="1"/>
  <c r="D145" i="74"/>
  <c r="D75" i="81" s="1"/>
  <c r="B146" i="74"/>
  <c r="C146" i="74"/>
  <c r="C76" i="81" s="1"/>
  <c r="D146" i="74"/>
  <c r="D76" i="81" s="1"/>
  <c r="B147" i="74"/>
  <c r="B77" i="81" s="1"/>
  <c r="C147" i="74"/>
  <c r="C77" i="81" s="1"/>
  <c r="D147" i="74"/>
  <c r="D77" i="81" s="1"/>
  <c r="B148" i="74"/>
  <c r="C148" i="74"/>
  <c r="C78" i="81" s="1"/>
  <c r="D148" i="74"/>
  <c r="D78" i="81" s="1"/>
  <c r="C149" i="74"/>
  <c r="C79" i="81" s="1"/>
  <c r="D149" i="74"/>
  <c r="D79" i="81" s="1"/>
  <c r="C150" i="74"/>
  <c r="C80" i="81" s="1"/>
  <c r="D150" i="74"/>
  <c r="D80" i="81" s="1"/>
  <c r="C151" i="74"/>
  <c r="C81" i="81" s="1"/>
  <c r="D151" i="74"/>
  <c r="D81" i="81" s="1"/>
  <c r="B152" i="74"/>
  <c r="C152" i="74"/>
  <c r="C82" i="81" s="1"/>
  <c r="D152" i="74"/>
  <c r="D82" i="81" s="1"/>
  <c r="B153" i="74"/>
  <c r="B83" i="81" s="1"/>
  <c r="C153" i="74"/>
  <c r="C83" i="81" s="1"/>
  <c r="D153" i="74"/>
  <c r="D83" i="81" s="1"/>
  <c r="B154" i="74"/>
  <c r="C154" i="74"/>
  <c r="C84" i="81" s="1"/>
  <c r="D154" i="74"/>
  <c r="D84" i="81" s="1"/>
  <c r="E154" i="74"/>
  <c r="E84" i="81" s="1"/>
  <c r="B155" i="74"/>
  <c r="B85" i="81" s="1"/>
  <c r="C155" i="74"/>
  <c r="C85" i="81" s="1"/>
  <c r="D155" i="74"/>
  <c r="D85" i="81" s="1"/>
  <c r="E155" i="74"/>
  <c r="E85" i="81" s="1"/>
  <c r="C144" i="74"/>
  <c r="D144" i="74"/>
  <c r="D74" i="81" s="1"/>
  <c r="E144" i="74"/>
  <c r="E74" i="81" s="1"/>
  <c r="B144" i="74"/>
  <c r="B74" i="81" s="1"/>
  <c r="D173" i="74"/>
  <c r="C173" i="74"/>
  <c r="E170" i="74"/>
  <c r="E153" i="74" s="1"/>
  <c r="E83" i="81" s="1"/>
  <c r="E169" i="74"/>
  <c r="E152" i="74" s="1"/>
  <c r="E82" i="81" s="1"/>
  <c r="B168" i="74"/>
  <c r="E168" i="74" s="1"/>
  <c r="E151" i="74" s="1"/>
  <c r="E81" i="81" s="1"/>
  <c r="B167" i="74"/>
  <c r="B166" i="74"/>
  <c r="E165" i="74"/>
  <c r="E148" i="74" s="1"/>
  <c r="E78" i="81" s="1"/>
  <c r="E164" i="74"/>
  <c r="E147" i="74" s="1"/>
  <c r="E77" i="81" s="1"/>
  <c r="E163" i="74"/>
  <c r="E146" i="74" s="1"/>
  <c r="E76" i="81" s="1"/>
  <c r="E162" i="74"/>
  <c r="E161" i="74"/>
  <c r="AD6" i="74"/>
  <c r="N85" i="74"/>
  <c r="N84" i="74"/>
  <c r="K81" i="74"/>
  <c r="L78" i="74"/>
  <c r="D69" i="74"/>
  <c r="M85" i="74" s="1"/>
  <c r="C69" i="74"/>
  <c r="L85" i="74" s="1"/>
  <c r="B69" i="74"/>
  <c r="K85" i="74" s="1"/>
  <c r="O85" i="74" s="1"/>
  <c r="D68" i="74"/>
  <c r="M84" i="74" s="1"/>
  <c r="C68" i="74"/>
  <c r="L84" i="74" s="1"/>
  <c r="O84" i="74" s="1"/>
  <c r="B68" i="74"/>
  <c r="K84" i="74" s="1"/>
  <c r="E67" i="74"/>
  <c r="N83" i="74" s="1"/>
  <c r="D67" i="74"/>
  <c r="C67" i="74"/>
  <c r="L83" i="74" s="1"/>
  <c r="B67" i="74"/>
  <c r="K83" i="74" s="1"/>
  <c r="E66" i="74"/>
  <c r="D66" i="74"/>
  <c r="M82" i="74" s="1"/>
  <c r="C66" i="74"/>
  <c r="L82" i="74" s="1"/>
  <c r="B66" i="74"/>
  <c r="K82" i="74" s="1"/>
  <c r="E65" i="74"/>
  <c r="N81" i="74" s="1"/>
  <c r="D65" i="74"/>
  <c r="M81" i="74" s="1"/>
  <c r="C65" i="74"/>
  <c r="L81" i="74" s="1"/>
  <c r="B65" i="74"/>
  <c r="E64" i="74"/>
  <c r="N80" i="74" s="1"/>
  <c r="D64" i="74"/>
  <c r="M80" i="74" s="1"/>
  <c r="C64" i="74"/>
  <c r="L80" i="74" s="1"/>
  <c r="B64" i="74"/>
  <c r="K80" i="74" s="1"/>
  <c r="E63" i="74"/>
  <c r="N79" i="74" s="1"/>
  <c r="D63" i="74"/>
  <c r="M79" i="74" s="1"/>
  <c r="C63" i="74"/>
  <c r="L79" i="74" s="1"/>
  <c r="B63" i="74"/>
  <c r="K79" i="74" s="1"/>
  <c r="E62" i="74"/>
  <c r="N78" i="74" s="1"/>
  <c r="D62" i="74"/>
  <c r="M78" i="74" s="1"/>
  <c r="C62" i="74"/>
  <c r="B62" i="74"/>
  <c r="K78" i="74" s="1"/>
  <c r="E61" i="74"/>
  <c r="N77" i="74" s="1"/>
  <c r="D61" i="74"/>
  <c r="M77" i="74" s="1"/>
  <c r="C61" i="74"/>
  <c r="L77" i="74" s="1"/>
  <c r="B61" i="74"/>
  <c r="K77" i="74" s="1"/>
  <c r="E60" i="74"/>
  <c r="N76" i="74" s="1"/>
  <c r="D60" i="74"/>
  <c r="M76" i="74" s="1"/>
  <c r="C60" i="74"/>
  <c r="L76" i="74" s="1"/>
  <c r="B60" i="74"/>
  <c r="E59" i="74"/>
  <c r="N75" i="74" s="1"/>
  <c r="D59" i="74"/>
  <c r="M75" i="74" s="1"/>
  <c r="C59" i="74"/>
  <c r="L75" i="74" s="1"/>
  <c r="B59" i="74"/>
  <c r="K75" i="74" s="1"/>
  <c r="E58" i="74"/>
  <c r="D58" i="74"/>
  <c r="C58" i="74"/>
  <c r="B58" i="74"/>
  <c r="K74" i="74" s="1"/>
  <c r="E37" i="74"/>
  <c r="D37" i="74"/>
  <c r="C37" i="74"/>
  <c r="B37" i="74"/>
  <c r="E36" i="74"/>
  <c r="D36" i="74"/>
  <c r="C36" i="74"/>
  <c r="B36" i="74"/>
  <c r="E34" i="74"/>
  <c r="D34" i="74"/>
  <c r="C34" i="74"/>
  <c r="B34" i="74"/>
  <c r="H33" i="74"/>
  <c r="G33" i="74"/>
  <c r="F33" i="74"/>
  <c r="H32" i="74"/>
  <c r="G32" i="74"/>
  <c r="F32" i="74"/>
  <c r="H31" i="74"/>
  <c r="G31" i="74"/>
  <c r="F31" i="74"/>
  <c r="K30" i="74"/>
  <c r="H30" i="74"/>
  <c r="G30" i="74"/>
  <c r="F30" i="74"/>
  <c r="H29" i="74"/>
  <c r="G29" i="74"/>
  <c r="F29" i="74"/>
  <c r="H28" i="74"/>
  <c r="G28" i="74"/>
  <c r="F28" i="74"/>
  <c r="H27" i="74"/>
  <c r="G27" i="74"/>
  <c r="F27" i="74"/>
  <c r="K26" i="74"/>
  <c r="H26" i="74"/>
  <c r="G26" i="74"/>
  <c r="F26" i="74"/>
  <c r="H25" i="74"/>
  <c r="H37" i="74" s="1"/>
  <c r="G25" i="74"/>
  <c r="F25" i="74"/>
  <c r="F37" i="74" s="1"/>
  <c r="H24" i="74"/>
  <c r="G24" i="74"/>
  <c r="F24" i="74"/>
  <c r="H23" i="74"/>
  <c r="G23" i="74"/>
  <c r="F23" i="74"/>
  <c r="K22" i="74"/>
  <c r="H22" i="74"/>
  <c r="H36" i="74" s="1"/>
  <c r="G22" i="74"/>
  <c r="F22" i="74"/>
  <c r="BT32" i="48"/>
  <c r="BS32" i="48"/>
  <c r="BR32" i="48"/>
  <c r="BQ32" i="48"/>
  <c r="BP32" i="48"/>
  <c r="BO32" i="48"/>
  <c r="BN32" i="48"/>
  <c r="BM32" i="48"/>
  <c r="BL32" i="48"/>
  <c r="BK32" i="48"/>
  <c r="BJ32" i="48"/>
  <c r="BI32" i="48"/>
  <c r="BH32" i="48"/>
  <c r="BG32" i="48"/>
  <c r="BF32" i="48"/>
  <c r="BB32" i="48"/>
  <c r="BA32" i="48"/>
  <c r="AZ32" i="48"/>
  <c r="AY32" i="48"/>
  <c r="AX32" i="48"/>
  <c r="AW32" i="48"/>
  <c r="AV32" i="48"/>
  <c r="AU32" i="48"/>
  <c r="AT32" i="48"/>
  <c r="AS32" i="48"/>
  <c r="AR32" i="48"/>
  <c r="AQ32" i="48"/>
  <c r="AP32" i="48"/>
  <c r="AO32" i="48"/>
  <c r="AN32" i="48"/>
  <c r="BT31" i="48"/>
  <c r="BS31" i="48"/>
  <c r="BR31" i="48"/>
  <c r="BQ31" i="48"/>
  <c r="BP31" i="48"/>
  <c r="BO31" i="48"/>
  <c r="BN31" i="48"/>
  <c r="BM31" i="48"/>
  <c r="BL31" i="48"/>
  <c r="BK31" i="48"/>
  <c r="BJ31" i="48"/>
  <c r="BI31" i="48"/>
  <c r="BH31" i="48"/>
  <c r="BG31" i="48"/>
  <c r="BF31" i="48"/>
  <c r="BB31" i="48"/>
  <c r="BA31" i="48"/>
  <c r="AZ31" i="48"/>
  <c r="AY31" i="48"/>
  <c r="AX31" i="48"/>
  <c r="AW31" i="48"/>
  <c r="AV31" i="48"/>
  <c r="AU31" i="48"/>
  <c r="AT31" i="48"/>
  <c r="AS31" i="48"/>
  <c r="AR31" i="48"/>
  <c r="AQ31" i="48"/>
  <c r="AP31" i="48"/>
  <c r="AO31" i="48"/>
  <c r="AN31" i="48"/>
  <c r="BT30" i="48"/>
  <c r="BS30" i="48"/>
  <c r="BR30" i="48"/>
  <c r="BQ30" i="48"/>
  <c r="BP30" i="48"/>
  <c r="BO30" i="48"/>
  <c r="BN30" i="48"/>
  <c r="BM30" i="48"/>
  <c r="BL30" i="48"/>
  <c r="BK30" i="48"/>
  <c r="BJ30" i="48"/>
  <c r="BI30" i="48"/>
  <c r="BH30" i="48"/>
  <c r="BG30" i="48"/>
  <c r="BF30" i="48"/>
  <c r="BB30" i="48"/>
  <c r="BA30" i="48"/>
  <c r="AZ30" i="48"/>
  <c r="AY30" i="48"/>
  <c r="AX30" i="48"/>
  <c r="AW30" i="48"/>
  <c r="AV30" i="48"/>
  <c r="AU30" i="48"/>
  <c r="AT30" i="48"/>
  <c r="AS30" i="48"/>
  <c r="AR30" i="48"/>
  <c r="AQ30" i="48"/>
  <c r="AP30" i="48"/>
  <c r="AO30" i="48"/>
  <c r="AN30" i="48"/>
  <c r="BT29" i="48"/>
  <c r="BS29" i="48"/>
  <c r="BR29" i="48"/>
  <c r="BQ29" i="48"/>
  <c r="BP29" i="48"/>
  <c r="BO29" i="48"/>
  <c r="BN29" i="48"/>
  <c r="BM29" i="48"/>
  <c r="BL29" i="48"/>
  <c r="BK29" i="48"/>
  <c r="BJ29" i="48"/>
  <c r="BI29" i="48"/>
  <c r="BH29" i="48"/>
  <c r="BG29" i="48"/>
  <c r="BF29" i="48"/>
  <c r="BB29" i="48"/>
  <c r="BA29" i="48"/>
  <c r="AZ29" i="48"/>
  <c r="AY29" i="48"/>
  <c r="AX29" i="48"/>
  <c r="AW29" i="48"/>
  <c r="AV29" i="48"/>
  <c r="AU29" i="48"/>
  <c r="AT29" i="48"/>
  <c r="AS29" i="48"/>
  <c r="AR29" i="48"/>
  <c r="AQ29" i="48"/>
  <c r="AP29" i="48"/>
  <c r="AO29" i="48"/>
  <c r="AN29" i="48"/>
  <c r="BT28" i="48"/>
  <c r="BS28" i="48"/>
  <c r="BR28" i="48"/>
  <c r="BQ28" i="48"/>
  <c r="BP28" i="48"/>
  <c r="BO28" i="48"/>
  <c r="BN28" i="48"/>
  <c r="BM28" i="48"/>
  <c r="BL28" i="48"/>
  <c r="BK28" i="48"/>
  <c r="BJ28" i="48"/>
  <c r="BI28" i="48"/>
  <c r="BH28" i="48"/>
  <c r="BG28" i="48"/>
  <c r="BF28" i="48"/>
  <c r="BB28" i="48"/>
  <c r="BA28" i="48"/>
  <c r="AZ28" i="48"/>
  <c r="AY28" i="48"/>
  <c r="AX28" i="48"/>
  <c r="AW28" i="48"/>
  <c r="AV28" i="48"/>
  <c r="AU28" i="48"/>
  <c r="AT28" i="48"/>
  <c r="AS28" i="48"/>
  <c r="AR28" i="48"/>
  <c r="AQ28" i="48"/>
  <c r="AP28" i="48"/>
  <c r="AO28" i="48"/>
  <c r="AN28" i="48"/>
  <c r="BT27" i="48"/>
  <c r="BS27" i="48"/>
  <c r="BR27" i="48"/>
  <c r="BQ27" i="48"/>
  <c r="BP27" i="48"/>
  <c r="BO27" i="48"/>
  <c r="BN27" i="48"/>
  <c r="BM27" i="48"/>
  <c r="BL27" i="48"/>
  <c r="BK27" i="48"/>
  <c r="BJ27" i="48"/>
  <c r="BI27" i="48"/>
  <c r="BH27" i="48"/>
  <c r="BG27" i="48"/>
  <c r="BF27" i="48"/>
  <c r="BB27" i="48"/>
  <c r="BA27" i="48"/>
  <c r="AZ27" i="48"/>
  <c r="AY27" i="48"/>
  <c r="AX27" i="48"/>
  <c r="AW27" i="48"/>
  <c r="AV27" i="48"/>
  <c r="AU27" i="48"/>
  <c r="AT27" i="48"/>
  <c r="AS27" i="48"/>
  <c r="AR27" i="48"/>
  <c r="AQ27" i="48"/>
  <c r="AP27" i="48"/>
  <c r="AO27" i="48"/>
  <c r="AN27" i="48"/>
  <c r="BT26" i="48"/>
  <c r="BS26" i="48"/>
  <c r="BR26" i="48"/>
  <c r="BQ26" i="48"/>
  <c r="BP26" i="48"/>
  <c r="BO26" i="48"/>
  <c r="BN26" i="48"/>
  <c r="BM26" i="48"/>
  <c r="BL26" i="48"/>
  <c r="BK26" i="48"/>
  <c r="BJ26" i="48"/>
  <c r="BI26" i="48"/>
  <c r="BH26" i="48"/>
  <c r="BG26" i="48"/>
  <c r="BF26" i="48"/>
  <c r="BB26" i="48"/>
  <c r="BA26" i="48"/>
  <c r="AZ26" i="48"/>
  <c r="AY26" i="48"/>
  <c r="AX26" i="48"/>
  <c r="AW26" i="48"/>
  <c r="AV26" i="48"/>
  <c r="AU26" i="48"/>
  <c r="AT26" i="48"/>
  <c r="AS26" i="48"/>
  <c r="AR26" i="48"/>
  <c r="AQ26" i="48"/>
  <c r="AP26" i="48"/>
  <c r="AO26" i="48"/>
  <c r="AN26" i="48"/>
  <c r="BT25" i="48"/>
  <c r="BS25" i="48"/>
  <c r="BR25" i="48"/>
  <c r="BQ25" i="48"/>
  <c r="BP25" i="48"/>
  <c r="BO25" i="48"/>
  <c r="BN25" i="48"/>
  <c r="BM25" i="48"/>
  <c r="BL25" i="48"/>
  <c r="BK25" i="48"/>
  <c r="BJ25" i="48"/>
  <c r="BI25" i="48"/>
  <c r="BH25" i="48"/>
  <c r="BG25" i="48"/>
  <c r="BF25" i="48"/>
  <c r="BB25" i="48"/>
  <c r="BA25" i="48"/>
  <c r="AZ25" i="48"/>
  <c r="AY25" i="48"/>
  <c r="AX25" i="48"/>
  <c r="AW25" i="48"/>
  <c r="AV25" i="48"/>
  <c r="AU25" i="48"/>
  <c r="AT25" i="48"/>
  <c r="AS25" i="48"/>
  <c r="AR25" i="48"/>
  <c r="AQ25" i="48"/>
  <c r="AP25" i="48"/>
  <c r="AO25" i="48"/>
  <c r="AN25" i="48"/>
  <c r="BT24" i="48"/>
  <c r="BS24" i="48"/>
  <c r="BR24" i="48"/>
  <c r="BQ24" i="48"/>
  <c r="BP24" i="48"/>
  <c r="BO24" i="48"/>
  <c r="BN24" i="48"/>
  <c r="BM24" i="48"/>
  <c r="BL24" i="48"/>
  <c r="BK24" i="48"/>
  <c r="BJ24" i="48"/>
  <c r="BI24" i="48"/>
  <c r="BH24" i="48"/>
  <c r="BG24" i="48"/>
  <c r="BF24" i="48"/>
  <c r="BB24" i="48"/>
  <c r="BA24" i="48"/>
  <c r="AZ24" i="48"/>
  <c r="AY24" i="48"/>
  <c r="AX24" i="48"/>
  <c r="AW24" i="48"/>
  <c r="AV24" i="48"/>
  <c r="AU24" i="48"/>
  <c r="AT24" i="48"/>
  <c r="AS24" i="48"/>
  <c r="AR24" i="48"/>
  <c r="AQ24" i="48"/>
  <c r="AP24" i="48"/>
  <c r="AO24" i="48"/>
  <c r="AN24" i="48"/>
  <c r="BT23" i="48"/>
  <c r="BS23" i="48"/>
  <c r="BR23" i="48"/>
  <c r="BQ23" i="48"/>
  <c r="BP23" i="48"/>
  <c r="BO23" i="48"/>
  <c r="BN23" i="48"/>
  <c r="BM23" i="48"/>
  <c r="BL23" i="48"/>
  <c r="BK23" i="48"/>
  <c r="BJ23" i="48"/>
  <c r="BI23" i="48"/>
  <c r="BH23" i="48"/>
  <c r="BG23" i="48"/>
  <c r="BF23" i="48"/>
  <c r="BB23" i="48"/>
  <c r="BA23" i="48"/>
  <c r="AZ23" i="48"/>
  <c r="AY23" i="48"/>
  <c r="AX23" i="48"/>
  <c r="AW23" i="48"/>
  <c r="AV23" i="48"/>
  <c r="AU23" i="48"/>
  <c r="AT23" i="48"/>
  <c r="AS23" i="48"/>
  <c r="AR23" i="48"/>
  <c r="AQ23" i="48"/>
  <c r="AP23" i="48"/>
  <c r="AO23" i="48"/>
  <c r="AN23" i="48"/>
  <c r="BT22" i="48"/>
  <c r="BS22" i="48"/>
  <c r="BR22" i="48"/>
  <c r="BQ22" i="48"/>
  <c r="BP22" i="48"/>
  <c r="BO22" i="48"/>
  <c r="BN22" i="48"/>
  <c r="BM22" i="48"/>
  <c r="BL22" i="48"/>
  <c r="BK22" i="48"/>
  <c r="BJ22" i="48"/>
  <c r="BI22" i="48"/>
  <c r="BH22" i="48"/>
  <c r="BG22" i="48"/>
  <c r="BF22" i="48"/>
  <c r="BB22" i="48"/>
  <c r="BA22" i="48"/>
  <c r="AZ22" i="48"/>
  <c r="AY22" i="48"/>
  <c r="AX22" i="48"/>
  <c r="AW22" i="48"/>
  <c r="AV22" i="48"/>
  <c r="AU22" i="48"/>
  <c r="AT22" i="48"/>
  <c r="AS22" i="48"/>
  <c r="AR22" i="48"/>
  <c r="AQ22" i="48"/>
  <c r="AP22" i="48"/>
  <c r="AO22" i="48"/>
  <c r="AN22" i="48"/>
  <c r="BT21" i="48"/>
  <c r="BS21" i="48"/>
  <c r="BR21" i="48"/>
  <c r="BQ21" i="48"/>
  <c r="BP21" i="48"/>
  <c r="BO21" i="48"/>
  <c r="BN21" i="48"/>
  <c r="BM21" i="48"/>
  <c r="BL21" i="48"/>
  <c r="BK21" i="48"/>
  <c r="BJ21" i="48"/>
  <c r="BI21" i="48"/>
  <c r="BH21" i="48"/>
  <c r="BG21" i="48"/>
  <c r="BF21" i="48"/>
  <c r="BB21" i="48"/>
  <c r="BA21" i="48"/>
  <c r="AZ21" i="48"/>
  <c r="AY21" i="48"/>
  <c r="AY33" i="48" s="1"/>
  <c r="AX21" i="48"/>
  <c r="AW21" i="48"/>
  <c r="AV21" i="48"/>
  <c r="AU21" i="48"/>
  <c r="AU33" i="48" s="1"/>
  <c r="AT21" i="48"/>
  <c r="AS21" i="48"/>
  <c r="AR21" i="48"/>
  <c r="AQ21" i="48"/>
  <c r="AQ33" i="48" s="1"/>
  <c r="AP21" i="48"/>
  <c r="AO21" i="48"/>
  <c r="AN21" i="48"/>
  <c r="BT15" i="48"/>
  <c r="BS15" i="48"/>
  <c r="BR15" i="48"/>
  <c r="BQ15" i="48"/>
  <c r="BP15" i="48"/>
  <c r="BO15" i="48"/>
  <c r="BN15" i="48"/>
  <c r="BM15" i="48"/>
  <c r="BL15" i="48"/>
  <c r="BK15" i="48"/>
  <c r="BJ15" i="48"/>
  <c r="BI15" i="48"/>
  <c r="BH15" i="48"/>
  <c r="BG15" i="48"/>
  <c r="BF15" i="48"/>
  <c r="BB15" i="48"/>
  <c r="BA15" i="48"/>
  <c r="AZ15" i="48"/>
  <c r="AY15" i="48"/>
  <c r="AX15" i="48"/>
  <c r="AW15" i="48"/>
  <c r="AV15" i="48"/>
  <c r="AU15" i="48"/>
  <c r="AT15" i="48"/>
  <c r="AS15" i="48"/>
  <c r="AR15" i="48"/>
  <c r="AQ15" i="48"/>
  <c r="AP15" i="48"/>
  <c r="AO15" i="48"/>
  <c r="AN15" i="48"/>
  <c r="BT14" i="48"/>
  <c r="BS14" i="48"/>
  <c r="BR14" i="48"/>
  <c r="BQ14" i="48"/>
  <c r="BP14" i="48"/>
  <c r="BO14" i="48"/>
  <c r="BN14" i="48"/>
  <c r="BM14" i="48"/>
  <c r="BL14" i="48"/>
  <c r="BK14" i="48"/>
  <c r="BJ14" i="48"/>
  <c r="BI14" i="48"/>
  <c r="BH14" i="48"/>
  <c r="BG14" i="48"/>
  <c r="BF14" i="48"/>
  <c r="BB14" i="48"/>
  <c r="BA14" i="48"/>
  <c r="AZ14" i="48"/>
  <c r="AY14" i="48"/>
  <c r="AX14" i="48"/>
  <c r="AW14" i="48"/>
  <c r="AV14" i="48"/>
  <c r="AU14" i="48"/>
  <c r="AT14" i="48"/>
  <c r="AS14" i="48"/>
  <c r="AR14" i="48"/>
  <c r="AQ14" i="48"/>
  <c r="AP14" i="48"/>
  <c r="AO14" i="48"/>
  <c r="AN14" i="48"/>
  <c r="BT13" i="48"/>
  <c r="BS13" i="48"/>
  <c r="BR13" i="48"/>
  <c r="BQ13" i="48"/>
  <c r="BP13" i="48"/>
  <c r="BO13" i="48"/>
  <c r="BN13" i="48"/>
  <c r="BM13" i="48"/>
  <c r="BL13" i="48"/>
  <c r="BK13" i="48"/>
  <c r="BJ13" i="48"/>
  <c r="BI13" i="48"/>
  <c r="BH13" i="48"/>
  <c r="BG13" i="48"/>
  <c r="BF13" i="48"/>
  <c r="BB13" i="48"/>
  <c r="BA13" i="48"/>
  <c r="AZ13" i="48"/>
  <c r="AY13" i="48"/>
  <c r="AX13" i="48"/>
  <c r="AW13" i="48"/>
  <c r="AV13" i="48"/>
  <c r="AU13" i="48"/>
  <c r="AT13" i="48"/>
  <c r="AS13" i="48"/>
  <c r="AR13" i="48"/>
  <c r="AQ13" i="48"/>
  <c r="AP13" i="48"/>
  <c r="AO13" i="48"/>
  <c r="AN13" i="48"/>
  <c r="BT12" i="48"/>
  <c r="BS12" i="48"/>
  <c r="BR12" i="48"/>
  <c r="BQ12" i="48"/>
  <c r="BP12" i="48"/>
  <c r="BO12" i="48"/>
  <c r="BN12" i="48"/>
  <c r="BM12" i="48"/>
  <c r="BL12" i="48"/>
  <c r="BK12" i="48"/>
  <c r="BJ12" i="48"/>
  <c r="BI12" i="48"/>
  <c r="BH12" i="48"/>
  <c r="BG12" i="48"/>
  <c r="BF12" i="48"/>
  <c r="BB12" i="48"/>
  <c r="BA12" i="48"/>
  <c r="AZ12" i="48"/>
  <c r="AY12" i="48"/>
  <c r="AX12" i="48"/>
  <c r="AW12" i="48"/>
  <c r="AV12" i="48"/>
  <c r="AU12" i="48"/>
  <c r="AT12" i="48"/>
  <c r="AS12" i="48"/>
  <c r="AR12" i="48"/>
  <c r="AQ12" i="48"/>
  <c r="AP12" i="48"/>
  <c r="AO12" i="48"/>
  <c r="AN12" i="48"/>
  <c r="BT11" i="48"/>
  <c r="BS11" i="48"/>
  <c r="BR11" i="48"/>
  <c r="BQ11" i="48"/>
  <c r="BP11" i="48"/>
  <c r="BO11" i="48"/>
  <c r="BN11" i="48"/>
  <c r="BM11" i="48"/>
  <c r="BL11" i="48"/>
  <c r="BK11" i="48"/>
  <c r="BJ11" i="48"/>
  <c r="BI11" i="48"/>
  <c r="BH11" i="48"/>
  <c r="BG11" i="48"/>
  <c r="BF11" i="48"/>
  <c r="BB11" i="48"/>
  <c r="BA11" i="48"/>
  <c r="AZ11" i="48"/>
  <c r="AY11" i="48"/>
  <c r="AX11" i="48"/>
  <c r="AW11" i="48"/>
  <c r="AV11" i="48"/>
  <c r="AU11" i="48"/>
  <c r="AT11" i="48"/>
  <c r="AS11" i="48"/>
  <c r="AR11" i="48"/>
  <c r="AQ11" i="48"/>
  <c r="AP11" i="48"/>
  <c r="AO11" i="48"/>
  <c r="AN11" i="48"/>
  <c r="BT10" i="48"/>
  <c r="BS10" i="48"/>
  <c r="BR10" i="48"/>
  <c r="BQ10" i="48"/>
  <c r="BP10" i="48"/>
  <c r="BO10" i="48"/>
  <c r="BN10" i="48"/>
  <c r="BM10" i="48"/>
  <c r="BL10" i="48"/>
  <c r="BK10" i="48"/>
  <c r="BJ10" i="48"/>
  <c r="BI10" i="48"/>
  <c r="BH10" i="48"/>
  <c r="BG10" i="48"/>
  <c r="BF10" i="48"/>
  <c r="BB10" i="48"/>
  <c r="BA10" i="48"/>
  <c r="AZ10" i="48"/>
  <c r="AY10" i="48"/>
  <c r="AX10" i="48"/>
  <c r="AW10" i="48"/>
  <c r="AV10" i="48"/>
  <c r="AU10" i="48"/>
  <c r="AT10" i="48"/>
  <c r="AS10" i="48"/>
  <c r="AR10" i="48"/>
  <c r="AQ10" i="48"/>
  <c r="AP10" i="48"/>
  <c r="AO10" i="48"/>
  <c r="AN10" i="48"/>
  <c r="BT9" i="48"/>
  <c r="BS9" i="48"/>
  <c r="BR9" i="48"/>
  <c r="BQ9" i="48"/>
  <c r="BP9" i="48"/>
  <c r="BO9" i="48"/>
  <c r="BN9" i="48"/>
  <c r="BM9" i="48"/>
  <c r="BL9" i="48"/>
  <c r="BK9" i="48"/>
  <c r="BJ9" i="48"/>
  <c r="BI9" i="48"/>
  <c r="BH9" i="48"/>
  <c r="BG9" i="48"/>
  <c r="BF9" i="48"/>
  <c r="BB9" i="48"/>
  <c r="BA9" i="48"/>
  <c r="AZ9" i="48"/>
  <c r="AY9" i="48"/>
  <c r="AX9" i="48"/>
  <c r="AW9" i="48"/>
  <c r="AV9" i="48"/>
  <c r="AU9" i="48"/>
  <c r="AT9" i="48"/>
  <c r="AS9" i="48"/>
  <c r="AR9" i="48"/>
  <c r="AQ9" i="48"/>
  <c r="AP9" i="48"/>
  <c r="AO9" i="48"/>
  <c r="AN9" i="48"/>
  <c r="BT8" i="48"/>
  <c r="BS8" i="48"/>
  <c r="BR8" i="48"/>
  <c r="BQ8" i="48"/>
  <c r="BP8" i="48"/>
  <c r="BO8" i="48"/>
  <c r="BN8" i="48"/>
  <c r="BM8" i="48"/>
  <c r="BL8" i="48"/>
  <c r="BK8" i="48"/>
  <c r="BJ8" i="48"/>
  <c r="BI8" i="48"/>
  <c r="BH8" i="48"/>
  <c r="BG8" i="48"/>
  <c r="BF8" i="48"/>
  <c r="BB8" i="48"/>
  <c r="BA8" i="48"/>
  <c r="AZ8" i="48"/>
  <c r="AY8" i="48"/>
  <c r="AX8" i="48"/>
  <c r="AW8" i="48"/>
  <c r="AV8" i="48"/>
  <c r="AU8" i="48"/>
  <c r="AT8" i="48"/>
  <c r="AS8" i="48"/>
  <c r="AR8" i="48"/>
  <c r="AQ8" i="48"/>
  <c r="AP8" i="48"/>
  <c r="AO8" i="48"/>
  <c r="AN8" i="48"/>
  <c r="BT7" i="48"/>
  <c r="BS7" i="48"/>
  <c r="BR7" i="48"/>
  <c r="BQ7" i="48"/>
  <c r="BP7" i="48"/>
  <c r="BO7" i="48"/>
  <c r="BN7" i="48"/>
  <c r="BM7" i="48"/>
  <c r="BL7" i="48"/>
  <c r="BK7" i="48"/>
  <c r="BJ7" i="48"/>
  <c r="BI7" i="48"/>
  <c r="BH7" i="48"/>
  <c r="BG7" i="48"/>
  <c r="BF7" i="48"/>
  <c r="BB7" i="48"/>
  <c r="BA7" i="48"/>
  <c r="AZ7" i="48"/>
  <c r="AY7" i="48"/>
  <c r="AX7" i="48"/>
  <c r="AW7" i="48"/>
  <c r="AV7" i="48"/>
  <c r="AU7" i="48"/>
  <c r="AT7" i="48"/>
  <c r="AS7" i="48"/>
  <c r="AR7" i="48"/>
  <c r="AQ7" i="48"/>
  <c r="AP7" i="48"/>
  <c r="AO7" i="48"/>
  <c r="AN7" i="48"/>
  <c r="BT6" i="48"/>
  <c r="BS6" i="48"/>
  <c r="BR6" i="48"/>
  <c r="BQ6" i="48"/>
  <c r="BP6" i="48"/>
  <c r="BO6" i="48"/>
  <c r="BN6" i="48"/>
  <c r="BM6" i="48"/>
  <c r="BL6" i="48"/>
  <c r="BK6" i="48"/>
  <c r="BJ6" i="48"/>
  <c r="BI6" i="48"/>
  <c r="BH6" i="48"/>
  <c r="BG6" i="48"/>
  <c r="BF6" i="48"/>
  <c r="BB6" i="48"/>
  <c r="BA6" i="48"/>
  <c r="AZ6" i="48"/>
  <c r="AY6" i="48"/>
  <c r="AX6" i="48"/>
  <c r="AW6" i="48"/>
  <c r="AV6" i="48"/>
  <c r="AU6" i="48"/>
  <c r="AT6" i="48"/>
  <c r="AS6" i="48"/>
  <c r="AR6" i="48"/>
  <c r="AQ6" i="48"/>
  <c r="AP6" i="48"/>
  <c r="AO6" i="48"/>
  <c r="AN6" i="48"/>
  <c r="BT5" i="48"/>
  <c r="BS5" i="48"/>
  <c r="BR5" i="48"/>
  <c r="BQ5" i="48"/>
  <c r="BP5" i="48"/>
  <c r="BO5" i="48"/>
  <c r="BN5" i="48"/>
  <c r="BM5" i="48"/>
  <c r="BL5" i="48"/>
  <c r="BK5" i="48"/>
  <c r="BJ5" i="48"/>
  <c r="BI5" i="48"/>
  <c r="BH5" i="48"/>
  <c r="BG5" i="48"/>
  <c r="BF5" i="48"/>
  <c r="BB5" i="48"/>
  <c r="BA5" i="48"/>
  <c r="AZ5" i="48"/>
  <c r="AY5" i="48"/>
  <c r="AX5" i="48"/>
  <c r="AW5" i="48"/>
  <c r="AV5" i="48"/>
  <c r="AU5" i="48"/>
  <c r="AT5" i="48"/>
  <c r="AS5" i="48"/>
  <c r="AR5" i="48"/>
  <c r="AQ5" i="48"/>
  <c r="AP5" i="48"/>
  <c r="AO5" i="48"/>
  <c r="AN5" i="48"/>
  <c r="BT4" i="48"/>
  <c r="BS4" i="48"/>
  <c r="BR4" i="48"/>
  <c r="BR16" i="48" s="1"/>
  <c r="BQ4" i="48"/>
  <c r="BQ16" i="48" s="1"/>
  <c r="BP4" i="48"/>
  <c r="BO4" i="48"/>
  <c r="BN4" i="48"/>
  <c r="BN16" i="48" s="1"/>
  <c r="BM4" i="48"/>
  <c r="BM16" i="48" s="1"/>
  <c r="BL4" i="48"/>
  <c r="BK4" i="48"/>
  <c r="BJ4" i="48"/>
  <c r="BJ16" i="48" s="1"/>
  <c r="BI4" i="48"/>
  <c r="BH4" i="48"/>
  <c r="BG4" i="48"/>
  <c r="BF4" i="48"/>
  <c r="BB4" i="48"/>
  <c r="BA4" i="48"/>
  <c r="AZ4" i="48"/>
  <c r="AY4" i="48"/>
  <c r="AX4" i="48"/>
  <c r="AW4" i="48"/>
  <c r="AV4" i="48"/>
  <c r="AU4" i="48"/>
  <c r="AT4" i="48"/>
  <c r="AS4" i="48"/>
  <c r="AR4" i="48"/>
  <c r="AQ4" i="48"/>
  <c r="AP4" i="48"/>
  <c r="AO4" i="48"/>
  <c r="AN4" i="48"/>
  <c r="BT32" i="45"/>
  <c r="BS32" i="45"/>
  <c r="BR32" i="45"/>
  <c r="BQ32" i="45"/>
  <c r="BP32" i="45"/>
  <c r="BO32" i="45"/>
  <c r="BN32" i="45"/>
  <c r="BM32" i="45"/>
  <c r="BL32" i="45"/>
  <c r="BK32" i="45"/>
  <c r="BJ32" i="45"/>
  <c r="BI32" i="45"/>
  <c r="BH32" i="45"/>
  <c r="BG32" i="45"/>
  <c r="BF32" i="45"/>
  <c r="BB32" i="45"/>
  <c r="BA32" i="45"/>
  <c r="AZ32" i="45"/>
  <c r="AY32" i="45"/>
  <c r="AX32" i="45"/>
  <c r="AW32" i="45"/>
  <c r="AV32" i="45"/>
  <c r="AU32" i="45"/>
  <c r="AT32" i="45"/>
  <c r="AS32" i="45"/>
  <c r="AR32" i="45"/>
  <c r="AQ32" i="45"/>
  <c r="AP32" i="45"/>
  <c r="AO32" i="45"/>
  <c r="AN32" i="45"/>
  <c r="BT31" i="45"/>
  <c r="BS31" i="45"/>
  <c r="BR31" i="45"/>
  <c r="BQ31" i="45"/>
  <c r="BP31" i="45"/>
  <c r="BO31" i="45"/>
  <c r="BN31" i="45"/>
  <c r="BM31" i="45"/>
  <c r="BL31" i="45"/>
  <c r="BK31" i="45"/>
  <c r="BJ31" i="45"/>
  <c r="BI31" i="45"/>
  <c r="BH31" i="45"/>
  <c r="BG31" i="45"/>
  <c r="BF31" i="45"/>
  <c r="BB31" i="45"/>
  <c r="BA31" i="45"/>
  <c r="AZ31" i="45"/>
  <c r="AY31" i="45"/>
  <c r="AX31" i="45"/>
  <c r="AW31" i="45"/>
  <c r="AV31" i="45"/>
  <c r="AU31" i="45"/>
  <c r="AT31" i="45"/>
  <c r="AS31" i="45"/>
  <c r="AR31" i="45"/>
  <c r="AQ31" i="45"/>
  <c r="AP31" i="45"/>
  <c r="AO31" i="45"/>
  <c r="AN31" i="45"/>
  <c r="BT30" i="45"/>
  <c r="BS30" i="45"/>
  <c r="BR30" i="45"/>
  <c r="BQ30" i="45"/>
  <c r="BP30" i="45"/>
  <c r="BO30" i="45"/>
  <c r="BN30" i="45"/>
  <c r="BM30" i="45"/>
  <c r="BL30" i="45"/>
  <c r="BK30" i="45"/>
  <c r="BJ30" i="45"/>
  <c r="BI30" i="45"/>
  <c r="BH30" i="45"/>
  <c r="BG30" i="45"/>
  <c r="BF30" i="45"/>
  <c r="BB30" i="45"/>
  <c r="BA30" i="45"/>
  <c r="AZ30" i="45"/>
  <c r="AY30" i="45"/>
  <c r="AX30" i="45"/>
  <c r="AW30" i="45"/>
  <c r="AV30" i="45"/>
  <c r="AU30" i="45"/>
  <c r="AT30" i="45"/>
  <c r="AS30" i="45"/>
  <c r="AR30" i="45"/>
  <c r="AQ30" i="45"/>
  <c r="AP30" i="45"/>
  <c r="AO30" i="45"/>
  <c r="AN30" i="45"/>
  <c r="BT29" i="45"/>
  <c r="BS29" i="45"/>
  <c r="BR29" i="45"/>
  <c r="BQ29" i="45"/>
  <c r="BP29" i="45"/>
  <c r="BO29" i="45"/>
  <c r="BN29" i="45"/>
  <c r="BM29" i="45"/>
  <c r="BL29" i="45"/>
  <c r="BK29" i="45"/>
  <c r="BJ29" i="45"/>
  <c r="BI29" i="45"/>
  <c r="BH29" i="45"/>
  <c r="BG29" i="45"/>
  <c r="BF29" i="45"/>
  <c r="BB29" i="45"/>
  <c r="BA29" i="45"/>
  <c r="AZ29" i="45"/>
  <c r="AY29" i="45"/>
  <c r="AX29" i="45"/>
  <c r="AW29" i="45"/>
  <c r="AV29" i="45"/>
  <c r="AU29" i="45"/>
  <c r="AT29" i="45"/>
  <c r="AS29" i="45"/>
  <c r="AR29" i="45"/>
  <c r="AQ29" i="45"/>
  <c r="AP29" i="45"/>
  <c r="AO29" i="45"/>
  <c r="AN29" i="45"/>
  <c r="BT28" i="45"/>
  <c r="BS28" i="45"/>
  <c r="BR28" i="45"/>
  <c r="BQ28" i="45"/>
  <c r="BP28" i="45"/>
  <c r="BO28" i="45"/>
  <c r="BN28" i="45"/>
  <c r="BM28" i="45"/>
  <c r="BL28" i="45"/>
  <c r="BK28" i="45"/>
  <c r="BJ28" i="45"/>
  <c r="BI28" i="45"/>
  <c r="BH28" i="45"/>
  <c r="BG28" i="45"/>
  <c r="BF28" i="45"/>
  <c r="BB28" i="45"/>
  <c r="BA28" i="45"/>
  <c r="AZ28" i="45"/>
  <c r="AY28" i="45"/>
  <c r="AX28" i="45"/>
  <c r="AW28" i="45"/>
  <c r="AV28" i="45"/>
  <c r="AU28" i="45"/>
  <c r="AT28" i="45"/>
  <c r="AS28" i="45"/>
  <c r="AR28" i="45"/>
  <c r="AQ28" i="45"/>
  <c r="AP28" i="45"/>
  <c r="AO28" i="45"/>
  <c r="AN28" i="45"/>
  <c r="BT27" i="45"/>
  <c r="BS27" i="45"/>
  <c r="BR27" i="45"/>
  <c r="BQ27" i="45"/>
  <c r="BP27" i="45"/>
  <c r="BO27" i="45"/>
  <c r="BN27" i="45"/>
  <c r="BM27" i="45"/>
  <c r="BL27" i="45"/>
  <c r="BK27" i="45"/>
  <c r="BJ27" i="45"/>
  <c r="BI27" i="45"/>
  <c r="BH27" i="45"/>
  <c r="BG27" i="45"/>
  <c r="BF27" i="45"/>
  <c r="BB27" i="45"/>
  <c r="BA27" i="45"/>
  <c r="AZ27" i="45"/>
  <c r="AY27" i="45"/>
  <c r="AX27" i="45"/>
  <c r="AW27" i="45"/>
  <c r="AV27" i="45"/>
  <c r="AU27" i="45"/>
  <c r="AT27" i="45"/>
  <c r="AS27" i="45"/>
  <c r="AR27" i="45"/>
  <c r="AQ27" i="45"/>
  <c r="AP27" i="45"/>
  <c r="AO27" i="45"/>
  <c r="AN27" i="45"/>
  <c r="BT26" i="45"/>
  <c r="BS26" i="45"/>
  <c r="BR26" i="45"/>
  <c r="BQ26" i="45"/>
  <c r="BP26" i="45"/>
  <c r="BO26" i="45"/>
  <c r="BN26" i="45"/>
  <c r="BM26" i="45"/>
  <c r="BL26" i="45"/>
  <c r="BK26" i="45"/>
  <c r="BJ26" i="45"/>
  <c r="BI26" i="45"/>
  <c r="BH26" i="45"/>
  <c r="BG26" i="45"/>
  <c r="BF26" i="45"/>
  <c r="BB26" i="45"/>
  <c r="BA26" i="45"/>
  <c r="AZ26" i="45"/>
  <c r="AY26" i="45"/>
  <c r="AX26" i="45"/>
  <c r="AW26" i="45"/>
  <c r="AV26" i="45"/>
  <c r="AU26" i="45"/>
  <c r="AT26" i="45"/>
  <c r="AS26" i="45"/>
  <c r="AR26" i="45"/>
  <c r="AQ26" i="45"/>
  <c r="AP26" i="45"/>
  <c r="AO26" i="45"/>
  <c r="AN26" i="45"/>
  <c r="BT25" i="45"/>
  <c r="BS25" i="45"/>
  <c r="BR25" i="45"/>
  <c r="BQ25" i="45"/>
  <c r="BP25" i="45"/>
  <c r="BO25" i="45"/>
  <c r="BN25" i="45"/>
  <c r="BM25" i="45"/>
  <c r="BL25" i="45"/>
  <c r="BK25" i="45"/>
  <c r="BJ25" i="45"/>
  <c r="BI25" i="45"/>
  <c r="BH25" i="45"/>
  <c r="BG25" i="45"/>
  <c r="BF25" i="45"/>
  <c r="BB25" i="45"/>
  <c r="BA25" i="45"/>
  <c r="AZ25" i="45"/>
  <c r="AY25" i="45"/>
  <c r="AX25" i="45"/>
  <c r="AW25" i="45"/>
  <c r="AV25" i="45"/>
  <c r="AU25" i="45"/>
  <c r="AT25" i="45"/>
  <c r="AS25" i="45"/>
  <c r="AR25" i="45"/>
  <c r="AQ25" i="45"/>
  <c r="AP25" i="45"/>
  <c r="AO25" i="45"/>
  <c r="AN25" i="45"/>
  <c r="BT24" i="45"/>
  <c r="BS24" i="45"/>
  <c r="BR24" i="45"/>
  <c r="BQ24" i="45"/>
  <c r="BP24" i="45"/>
  <c r="BO24" i="45"/>
  <c r="BN24" i="45"/>
  <c r="BM24" i="45"/>
  <c r="BL24" i="45"/>
  <c r="BK24" i="45"/>
  <c r="BJ24" i="45"/>
  <c r="BI24" i="45"/>
  <c r="BH24" i="45"/>
  <c r="BG24" i="45"/>
  <c r="BF24" i="45"/>
  <c r="BB24" i="45"/>
  <c r="BA24" i="45"/>
  <c r="AZ24" i="45"/>
  <c r="AY24" i="45"/>
  <c r="AX24" i="45"/>
  <c r="AW24" i="45"/>
  <c r="AV24" i="45"/>
  <c r="AU24" i="45"/>
  <c r="AT24" i="45"/>
  <c r="AS24" i="45"/>
  <c r="AR24" i="45"/>
  <c r="AQ24" i="45"/>
  <c r="AP24" i="45"/>
  <c r="AO24" i="45"/>
  <c r="AN24" i="45"/>
  <c r="BT23" i="45"/>
  <c r="BS23" i="45"/>
  <c r="BR23" i="45"/>
  <c r="BQ23" i="45"/>
  <c r="BP23" i="45"/>
  <c r="BO23" i="45"/>
  <c r="BN23" i="45"/>
  <c r="BM23" i="45"/>
  <c r="BL23" i="45"/>
  <c r="BK23" i="45"/>
  <c r="BJ23" i="45"/>
  <c r="BI23" i="45"/>
  <c r="BH23" i="45"/>
  <c r="BG23" i="45"/>
  <c r="BF23" i="45"/>
  <c r="BB23" i="45"/>
  <c r="BA23" i="45"/>
  <c r="AZ23" i="45"/>
  <c r="AY23" i="45"/>
  <c r="AX23" i="45"/>
  <c r="AW23" i="45"/>
  <c r="AV23" i="45"/>
  <c r="AU23" i="45"/>
  <c r="AT23" i="45"/>
  <c r="AS23" i="45"/>
  <c r="AR23" i="45"/>
  <c r="AQ23" i="45"/>
  <c r="AP23" i="45"/>
  <c r="AO23" i="45"/>
  <c r="AN23" i="45"/>
  <c r="BT22" i="45"/>
  <c r="BS22" i="45"/>
  <c r="BR22" i="45"/>
  <c r="BQ22" i="45"/>
  <c r="BP22" i="45"/>
  <c r="BO22" i="45"/>
  <c r="BN22" i="45"/>
  <c r="BM22" i="45"/>
  <c r="BL22" i="45"/>
  <c r="BK22" i="45"/>
  <c r="BJ22" i="45"/>
  <c r="BI22" i="45"/>
  <c r="BH22" i="45"/>
  <c r="BG22" i="45"/>
  <c r="BF22" i="45"/>
  <c r="BB22" i="45"/>
  <c r="BA22" i="45"/>
  <c r="AZ22" i="45"/>
  <c r="AY22" i="45"/>
  <c r="AX22" i="45"/>
  <c r="AW22" i="45"/>
  <c r="AV22" i="45"/>
  <c r="AU22" i="45"/>
  <c r="AT22" i="45"/>
  <c r="AS22" i="45"/>
  <c r="AR22" i="45"/>
  <c r="AQ22" i="45"/>
  <c r="AP22" i="45"/>
  <c r="AO22" i="45"/>
  <c r="AN22" i="45"/>
  <c r="BT21" i="45"/>
  <c r="BS21" i="45"/>
  <c r="BR21" i="45"/>
  <c r="BQ21" i="45"/>
  <c r="BP21" i="45"/>
  <c r="BO21" i="45"/>
  <c r="BN21" i="45"/>
  <c r="BM21" i="45"/>
  <c r="BL21" i="45"/>
  <c r="BK21" i="45"/>
  <c r="BJ21" i="45"/>
  <c r="BI21" i="45"/>
  <c r="BH21" i="45"/>
  <c r="BG21" i="45"/>
  <c r="BF21" i="45"/>
  <c r="BB21" i="45"/>
  <c r="BA21" i="45"/>
  <c r="AZ21" i="45"/>
  <c r="AY21" i="45"/>
  <c r="AX21" i="45"/>
  <c r="AW21" i="45"/>
  <c r="AV21" i="45"/>
  <c r="AU21" i="45"/>
  <c r="AT21" i="45"/>
  <c r="AS21" i="45"/>
  <c r="AR21" i="45"/>
  <c r="AQ21" i="45"/>
  <c r="AP21" i="45"/>
  <c r="AO21" i="45"/>
  <c r="AN21" i="45"/>
  <c r="BT15" i="45"/>
  <c r="BS15" i="45"/>
  <c r="BR15" i="45"/>
  <c r="BQ15" i="45"/>
  <c r="BP15" i="45"/>
  <c r="BO15" i="45"/>
  <c r="BN15" i="45"/>
  <c r="BM15" i="45"/>
  <c r="BL15" i="45"/>
  <c r="BK15" i="45"/>
  <c r="BJ15" i="45"/>
  <c r="BI15" i="45"/>
  <c r="BH15" i="45"/>
  <c r="BG15" i="45"/>
  <c r="BF15" i="45"/>
  <c r="BB15" i="45"/>
  <c r="BA15" i="45"/>
  <c r="AZ15" i="45"/>
  <c r="AY15" i="45"/>
  <c r="AX15" i="45"/>
  <c r="AW15" i="45"/>
  <c r="AV15" i="45"/>
  <c r="AU15" i="45"/>
  <c r="AT15" i="45"/>
  <c r="AS15" i="45"/>
  <c r="AR15" i="45"/>
  <c r="AQ15" i="45"/>
  <c r="AP15" i="45"/>
  <c r="AO15" i="45"/>
  <c r="AN15" i="45"/>
  <c r="BT14" i="45"/>
  <c r="BS14" i="45"/>
  <c r="BR14" i="45"/>
  <c r="BQ14" i="45"/>
  <c r="BP14" i="45"/>
  <c r="BO14" i="45"/>
  <c r="BN14" i="45"/>
  <c r="BM14" i="45"/>
  <c r="BL14" i="45"/>
  <c r="BK14" i="45"/>
  <c r="BJ14" i="45"/>
  <c r="BI14" i="45"/>
  <c r="BH14" i="45"/>
  <c r="BG14" i="45"/>
  <c r="BF14" i="45"/>
  <c r="BB14" i="45"/>
  <c r="BA14" i="45"/>
  <c r="AZ14" i="45"/>
  <c r="AY14" i="45"/>
  <c r="AX14" i="45"/>
  <c r="AW14" i="45"/>
  <c r="AV14" i="45"/>
  <c r="AU14" i="45"/>
  <c r="AT14" i="45"/>
  <c r="AS14" i="45"/>
  <c r="AR14" i="45"/>
  <c r="AQ14" i="45"/>
  <c r="AP14" i="45"/>
  <c r="AO14" i="45"/>
  <c r="AN14" i="45"/>
  <c r="BT13" i="45"/>
  <c r="BS13" i="45"/>
  <c r="BR13" i="45"/>
  <c r="BQ13" i="45"/>
  <c r="BP13" i="45"/>
  <c r="BO13" i="45"/>
  <c r="BN13" i="45"/>
  <c r="BM13" i="45"/>
  <c r="BL13" i="45"/>
  <c r="BK13" i="45"/>
  <c r="BJ13" i="45"/>
  <c r="BI13" i="45"/>
  <c r="BH13" i="45"/>
  <c r="BG13" i="45"/>
  <c r="BF13" i="45"/>
  <c r="BB13" i="45"/>
  <c r="BA13" i="45"/>
  <c r="AZ13" i="45"/>
  <c r="AY13" i="45"/>
  <c r="AX13" i="45"/>
  <c r="AW13" i="45"/>
  <c r="AV13" i="45"/>
  <c r="AU13" i="45"/>
  <c r="AT13" i="45"/>
  <c r="AS13" i="45"/>
  <c r="AR13" i="45"/>
  <c r="AQ13" i="45"/>
  <c r="AP13" i="45"/>
  <c r="AO13" i="45"/>
  <c r="AN13" i="45"/>
  <c r="BT12" i="45"/>
  <c r="BS12" i="45"/>
  <c r="BR12" i="45"/>
  <c r="BQ12" i="45"/>
  <c r="BP12" i="45"/>
  <c r="BO12" i="45"/>
  <c r="BN12" i="45"/>
  <c r="BM12" i="45"/>
  <c r="BL12" i="45"/>
  <c r="BK12" i="45"/>
  <c r="BJ12" i="45"/>
  <c r="BI12" i="45"/>
  <c r="BH12" i="45"/>
  <c r="BG12" i="45"/>
  <c r="BF12" i="45"/>
  <c r="BB12" i="45"/>
  <c r="BA12" i="45"/>
  <c r="AZ12" i="45"/>
  <c r="AY12" i="45"/>
  <c r="AX12" i="45"/>
  <c r="AW12" i="45"/>
  <c r="AV12" i="45"/>
  <c r="AU12" i="45"/>
  <c r="AT12" i="45"/>
  <c r="AS12" i="45"/>
  <c r="AR12" i="45"/>
  <c r="AQ12" i="45"/>
  <c r="AP12" i="45"/>
  <c r="AO12" i="45"/>
  <c r="AN12" i="45"/>
  <c r="BT11" i="45"/>
  <c r="BS11" i="45"/>
  <c r="BR11" i="45"/>
  <c r="BQ11" i="45"/>
  <c r="BP11" i="45"/>
  <c r="BO11" i="45"/>
  <c r="BN11" i="45"/>
  <c r="BM11" i="45"/>
  <c r="BL11" i="45"/>
  <c r="BK11" i="45"/>
  <c r="BJ11" i="45"/>
  <c r="BI11" i="45"/>
  <c r="BH11" i="45"/>
  <c r="BG11" i="45"/>
  <c r="BF11" i="45"/>
  <c r="BB11" i="45"/>
  <c r="BA11" i="45"/>
  <c r="AZ11" i="45"/>
  <c r="AY11" i="45"/>
  <c r="AX11" i="45"/>
  <c r="AW11" i="45"/>
  <c r="AV11" i="45"/>
  <c r="AU11" i="45"/>
  <c r="AT11" i="45"/>
  <c r="AS11" i="45"/>
  <c r="AR11" i="45"/>
  <c r="AQ11" i="45"/>
  <c r="AP11" i="45"/>
  <c r="AO11" i="45"/>
  <c r="AN11" i="45"/>
  <c r="BT10" i="45"/>
  <c r="BS10" i="45"/>
  <c r="BR10" i="45"/>
  <c r="BQ10" i="45"/>
  <c r="BP10" i="45"/>
  <c r="BO10" i="45"/>
  <c r="BN10" i="45"/>
  <c r="BM10" i="45"/>
  <c r="BL10" i="45"/>
  <c r="BK10" i="45"/>
  <c r="BJ10" i="45"/>
  <c r="BI10" i="45"/>
  <c r="BH10" i="45"/>
  <c r="BG10" i="45"/>
  <c r="BF10" i="45"/>
  <c r="BB10" i="45"/>
  <c r="BA10" i="45"/>
  <c r="AZ10" i="45"/>
  <c r="AY10" i="45"/>
  <c r="AX10" i="45"/>
  <c r="AW10" i="45"/>
  <c r="AV10" i="45"/>
  <c r="AU10" i="45"/>
  <c r="AT10" i="45"/>
  <c r="AS10" i="45"/>
  <c r="AR10" i="45"/>
  <c r="AQ10" i="45"/>
  <c r="AP10" i="45"/>
  <c r="AO10" i="45"/>
  <c r="AN10" i="45"/>
  <c r="BT9" i="45"/>
  <c r="BS9" i="45"/>
  <c r="BR9" i="45"/>
  <c r="BQ9" i="45"/>
  <c r="BP9" i="45"/>
  <c r="BO9" i="45"/>
  <c r="BN9" i="45"/>
  <c r="BM9" i="45"/>
  <c r="BL9" i="45"/>
  <c r="BK9" i="45"/>
  <c r="BJ9" i="45"/>
  <c r="BI9" i="45"/>
  <c r="BH9" i="45"/>
  <c r="BG9" i="45"/>
  <c r="BF9" i="45"/>
  <c r="BB9" i="45"/>
  <c r="BA9" i="45"/>
  <c r="AZ9" i="45"/>
  <c r="AY9" i="45"/>
  <c r="AX9" i="45"/>
  <c r="AW9" i="45"/>
  <c r="AV9" i="45"/>
  <c r="AU9" i="45"/>
  <c r="AT9" i="45"/>
  <c r="AS9" i="45"/>
  <c r="AR9" i="45"/>
  <c r="AQ9" i="45"/>
  <c r="AP9" i="45"/>
  <c r="AO9" i="45"/>
  <c r="AN9" i="45"/>
  <c r="BT8" i="45"/>
  <c r="BS8" i="45"/>
  <c r="BR8" i="45"/>
  <c r="BQ8" i="45"/>
  <c r="BP8" i="45"/>
  <c r="BO8" i="45"/>
  <c r="BN8" i="45"/>
  <c r="BM8" i="45"/>
  <c r="BL8" i="45"/>
  <c r="BK8" i="45"/>
  <c r="BJ8" i="45"/>
  <c r="BI8" i="45"/>
  <c r="BH8" i="45"/>
  <c r="BG8" i="45"/>
  <c r="BF8" i="45"/>
  <c r="BB8" i="45"/>
  <c r="BA8" i="45"/>
  <c r="AZ8" i="45"/>
  <c r="AY8" i="45"/>
  <c r="AX8" i="45"/>
  <c r="AW8" i="45"/>
  <c r="AV8" i="45"/>
  <c r="AU8" i="45"/>
  <c r="AT8" i="45"/>
  <c r="AS8" i="45"/>
  <c r="AR8" i="45"/>
  <c r="AQ8" i="45"/>
  <c r="AP8" i="45"/>
  <c r="AO8" i="45"/>
  <c r="AN8" i="45"/>
  <c r="BT7" i="45"/>
  <c r="BS7" i="45"/>
  <c r="BR7" i="45"/>
  <c r="BQ7" i="45"/>
  <c r="BP7" i="45"/>
  <c r="BO7" i="45"/>
  <c r="BN7" i="45"/>
  <c r="BM7" i="45"/>
  <c r="BL7" i="45"/>
  <c r="BK7" i="45"/>
  <c r="BJ7" i="45"/>
  <c r="BI7" i="45"/>
  <c r="BH7" i="45"/>
  <c r="BG7" i="45"/>
  <c r="BF7" i="45"/>
  <c r="BB7" i="45"/>
  <c r="BA7" i="45"/>
  <c r="AZ7" i="45"/>
  <c r="AY7" i="45"/>
  <c r="AX7" i="45"/>
  <c r="AW7" i="45"/>
  <c r="AV7" i="45"/>
  <c r="AU7" i="45"/>
  <c r="AT7" i="45"/>
  <c r="AS7" i="45"/>
  <c r="AR7" i="45"/>
  <c r="AQ7" i="45"/>
  <c r="AP7" i="45"/>
  <c r="AO7" i="45"/>
  <c r="AN7" i="45"/>
  <c r="BT6" i="45"/>
  <c r="BS6" i="45"/>
  <c r="BR6" i="45"/>
  <c r="BQ6" i="45"/>
  <c r="BP6" i="45"/>
  <c r="BO6" i="45"/>
  <c r="BN6" i="45"/>
  <c r="BM6" i="45"/>
  <c r="BL6" i="45"/>
  <c r="BK6" i="45"/>
  <c r="BJ6" i="45"/>
  <c r="BI6" i="45"/>
  <c r="BH6" i="45"/>
  <c r="BG6" i="45"/>
  <c r="BF6" i="45"/>
  <c r="BB6" i="45"/>
  <c r="BA6" i="45"/>
  <c r="AZ6" i="45"/>
  <c r="AY6" i="45"/>
  <c r="AX6" i="45"/>
  <c r="AW6" i="45"/>
  <c r="AV6" i="45"/>
  <c r="AU6" i="45"/>
  <c r="AT6" i="45"/>
  <c r="AS6" i="45"/>
  <c r="AR6" i="45"/>
  <c r="AQ6" i="45"/>
  <c r="AP6" i="45"/>
  <c r="AO6" i="45"/>
  <c r="AN6" i="45"/>
  <c r="BT5" i="45"/>
  <c r="BS5" i="45"/>
  <c r="BR5" i="45"/>
  <c r="BQ5" i="45"/>
  <c r="BP5" i="45"/>
  <c r="BO5" i="45"/>
  <c r="BN5" i="45"/>
  <c r="BM5" i="45"/>
  <c r="BL5" i="45"/>
  <c r="BK5" i="45"/>
  <c r="BJ5" i="45"/>
  <c r="BI5" i="45"/>
  <c r="BH5" i="45"/>
  <c r="BG5" i="45"/>
  <c r="BF5" i="45"/>
  <c r="BB5" i="45"/>
  <c r="BA5" i="45"/>
  <c r="AZ5" i="45"/>
  <c r="AY5" i="45"/>
  <c r="AX5" i="45"/>
  <c r="AW5" i="45"/>
  <c r="AV5" i="45"/>
  <c r="AU5" i="45"/>
  <c r="AT5" i="45"/>
  <c r="AS5" i="45"/>
  <c r="AR5" i="45"/>
  <c r="AQ5" i="45"/>
  <c r="AP5" i="45"/>
  <c r="AO5" i="45"/>
  <c r="AN5" i="45"/>
  <c r="BT4" i="45"/>
  <c r="BS4" i="45"/>
  <c r="BR4" i="45"/>
  <c r="BQ4" i="45"/>
  <c r="BP4" i="45"/>
  <c r="BO4" i="45"/>
  <c r="BN4" i="45"/>
  <c r="BM4" i="45"/>
  <c r="BL4" i="45"/>
  <c r="BK4" i="45"/>
  <c r="BJ4" i="45"/>
  <c r="BI4" i="45"/>
  <c r="BH4" i="45"/>
  <c r="BG4" i="45"/>
  <c r="BF4" i="45"/>
  <c r="BB4" i="45"/>
  <c r="BA4" i="45"/>
  <c r="AZ4" i="45"/>
  <c r="AY4" i="45"/>
  <c r="AX4" i="45"/>
  <c r="AW4" i="45"/>
  <c r="AV4" i="45"/>
  <c r="AU4" i="45"/>
  <c r="AT4" i="45"/>
  <c r="AS4" i="45"/>
  <c r="AR4" i="45"/>
  <c r="AQ4" i="45"/>
  <c r="AP4" i="45"/>
  <c r="AO4" i="45"/>
  <c r="AN4" i="45"/>
  <c r="BT32" i="44"/>
  <c r="BS32" i="44"/>
  <c r="BR32" i="44"/>
  <c r="BQ32" i="44"/>
  <c r="BP32" i="44"/>
  <c r="BO32" i="44"/>
  <c r="BN32" i="44"/>
  <c r="BM32" i="44"/>
  <c r="BL32" i="44"/>
  <c r="BK32" i="44"/>
  <c r="BJ32" i="44"/>
  <c r="BI32" i="44"/>
  <c r="BH32" i="44"/>
  <c r="BG32" i="44"/>
  <c r="BF32" i="44"/>
  <c r="BB32" i="44"/>
  <c r="BA32" i="44"/>
  <c r="AZ32" i="44"/>
  <c r="AY32" i="44"/>
  <c r="AX32" i="44"/>
  <c r="AW32" i="44"/>
  <c r="AV32" i="44"/>
  <c r="AU32" i="44"/>
  <c r="AT32" i="44"/>
  <c r="AS32" i="44"/>
  <c r="AR32" i="44"/>
  <c r="AQ32" i="44"/>
  <c r="AP32" i="44"/>
  <c r="AO32" i="44"/>
  <c r="AN32" i="44"/>
  <c r="BT31" i="44"/>
  <c r="BS31" i="44"/>
  <c r="BR31" i="44"/>
  <c r="BQ31" i="44"/>
  <c r="BP31" i="44"/>
  <c r="BO31" i="44"/>
  <c r="BN31" i="44"/>
  <c r="BM31" i="44"/>
  <c r="BL31" i="44"/>
  <c r="BK31" i="44"/>
  <c r="BJ31" i="44"/>
  <c r="BI31" i="44"/>
  <c r="BH31" i="44"/>
  <c r="BG31" i="44"/>
  <c r="BF31" i="44"/>
  <c r="BB31" i="44"/>
  <c r="BA31" i="44"/>
  <c r="AZ31" i="44"/>
  <c r="AY31" i="44"/>
  <c r="AX31" i="44"/>
  <c r="AW31" i="44"/>
  <c r="AV31" i="44"/>
  <c r="AU31" i="44"/>
  <c r="AT31" i="44"/>
  <c r="AS31" i="44"/>
  <c r="AR31" i="44"/>
  <c r="AQ31" i="44"/>
  <c r="AP31" i="44"/>
  <c r="AO31" i="44"/>
  <c r="AN31" i="44"/>
  <c r="BT30" i="44"/>
  <c r="BS30" i="44"/>
  <c r="BR30" i="44"/>
  <c r="BQ30" i="44"/>
  <c r="BP30" i="44"/>
  <c r="BO30" i="44"/>
  <c r="BN30" i="44"/>
  <c r="BM30" i="44"/>
  <c r="BL30" i="44"/>
  <c r="BK30" i="44"/>
  <c r="BJ30" i="44"/>
  <c r="BI30" i="44"/>
  <c r="BH30" i="44"/>
  <c r="BG30" i="44"/>
  <c r="BF30" i="44"/>
  <c r="BB30" i="44"/>
  <c r="BA30" i="44"/>
  <c r="AZ30" i="44"/>
  <c r="AY30" i="44"/>
  <c r="AX30" i="44"/>
  <c r="AW30" i="44"/>
  <c r="AV30" i="44"/>
  <c r="AU30" i="44"/>
  <c r="AT30" i="44"/>
  <c r="AS30" i="44"/>
  <c r="AR30" i="44"/>
  <c r="AQ30" i="44"/>
  <c r="AP30" i="44"/>
  <c r="AO30" i="44"/>
  <c r="AN30" i="44"/>
  <c r="BT29" i="44"/>
  <c r="BS29" i="44"/>
  <c r="BR29" i="44"/>
  <c r="BQ29" i="44"/>
  <c r="BP29" i="44"/>
  <c r="BO29" i="44"/>
  <c r="BN29" i="44"/>
  <c r="BM29" i="44"/>
  <c r="BL29" i="44"/>
  <c r="BK29" i="44"/>
  <c r="BJ29" i="44"/>
  <c r="BI29" i="44"/>
  <c r="BH29" i="44"/>
  <c r="BG29" i="44"/>
  <c r="BF29" i="44"/>
  <c r="BB29" i="44"/>
  <c r="BA29" i="44"/>
  <c r="AZ29" i="44"/>
  <c r="AY29" i="44"/>
  <c r="AX29" i="44"/>
  <c r="AW29" i="44"/>
  <c r="AV29" i="44"/>
  <c r="AU29" i="44"/>
  <c r="AT29" i="44"/>
  <c r="AS29" i="44"/>
  <c r="AR29" i="44"/>
  <c r="AQ29" i="44"/>
  <c r="AP29" i="44"/>
  <c r="AO29" i="44"/>
  <c r="AN29" i="44"/>
  <c r="BT28" i="44"/>
  <c r="BS28" i="44"/>
  <c r="BR28" i="44"/>
  <c r="BQ28" i="44"/>
  <c r="BP28" i="44"/>
  <c r="BO28" i="44"/>
  <c r="BN28" i="44"/>
  <c r="BM28" i="44"/>
  <c r="BL28" i="44"/>
  <c r="BK28" i="44"/>
  <c r="BJ28" i="44"/>
  <c r="BI28" i="44"/>
  <c r="BH28" i="44"/>
  <c r="BG28" i="44"/>
  <c r="BF28" i="44"/>
  <c r="BB28" i="44"/>
  <c r="BA28" i="44"/>
  <c r="AZ28" i="44"/>
  <c r="AY28" i="44"/>
  <c r="AX28" i="44"/>
  <c r="AW28" i="44"/>
  <c r="AV28" i="44"/>
  <c r="AU28" i="44"/>
  <c r="AT28" i="44"/>
  <c r="AS28" i="44"/>
  <c r="AR28" i="44"/>
  <c r="AQ28" i="44"/>
  <c r="AP28" i="44"/>
  <c r="AO28" i="44"/>
  <c r="AN28" i="44"/>
  <c r="BT27" i="44"/>
  <c r="BS27" i="44"/>
  <c r="BR27" i="44"/>
  <c r="BQ27" i="44"/>
  <c r="BP27" i="44"/>
  <c r="BO27" i="44"/>
  <c r="BN27" i="44"/>
  <c r="BM27" i="44"/>
  <c r="BL27" i="44"/>
  <c r="BK27" i="44"/>
  <c r="BJ27" i="44"/>
  <c r="BI27" i="44"/>
  <c r="BH27" i="44"/>
  <c r="BG27" i="44"/>
  <c r="BF27" i="44"/>
  <c r="BB27" i="44"/>
  <c r="BA27" i="44"/>
  <c r="AZ27" i="44"/>
  <c r="AY27" i="44"/>
  <c r="AX27" i="44"/>
  <c r="AW27" i="44"/>
  <c r="AV27" i="44"/>
  <c r="AU27" i="44"/>
  <c r="AT27" i="44"/>
  <c r="AS27" i="44"/>
  <c r="AR27" i="44"/>
  <c r="AQ27" i="44"/>
  <c r="AP27" i="44"/>
  <c r="AO27" i="44"/>
  <c r="AN27" i="44"/>
  <c r="BT26" i="44"/>
  <c r="BS26" i="44"/>
  <c r="BR26" i="44"/>
  <c r="BQ26" i="44"/>
  <c r="BP26" i="44"/>
  <c r="BO26" i="44"/>
  <c r="BN26" i="44"/>
  <c r="BM26" i="44"/>
  <c r="BL26" i="44"/>
  <c r="BK26" i="44"/>
  <c r="BJ26" i="44"/>
  <c r="BI26" i="44"/>
  <c r="BH26" i="44"/>
  <c r="BG26" i="44"/>
  <c r="BF26" i="44"/>
  <c r="BB26" i="44"/>
  <c r="BA26" i="44"/>
  <c r="AZ26" i="44"/>
  <c r="AY26" i="44"/>
  <c r="AX26" i="44"/>
  <c r="AW26" i="44"/>
  <c r="AV26" i="44"/>
  <c r="AU26" i="44"/>
  <c r="AT26" i="44"/>
  <c r="AS26" i="44"/>
  <c r="AR26" i="44"/>
  <c r="AQ26" i="44"/>
  <c r="AP26" i="44"/>
  <c r="AO26" i="44"/>
  <c r="AN26" i="44"/>
  <c r="BT25" i="44"/>
  <c r="BS25" i="44"/>
  <c r="BR25" i="44"/>
  <c r="BQ25" i="44"/>
  <c r="BP25" i="44"/>
  <c r="BO25" i="44"/>
  <c r="BN25" i="44"/>
  <c r="BM25" i="44"/>
  <c r="BL25" i="44"/>
  <c r="BK25" i="44"/>
  <c r="BJ25" i="44"/>
  <c r="BI25" i="44"/>
  <c r="BH25" i="44"/>
  <c r="BG25" i="44"/>
  <c r="BF25" i="44"/>
  <c r="BB25" i="44"/>
  <c r="BA25" i="44"/>
  <c r="AZ25" i="44"/>
  <c r="AY25" i="44"/>
  <c r="AX25" i="44"/>
  <c r="AW25" i="44"/>
  <c r="AV25" i="44"/>
  <c r="AU25" i="44"/>
  <c r="AT25" i="44"/>
  <c r="AS25" i="44"/>
  <c r="AR25" i="44"/>
  <c r="AQ25" i="44"/>
  <c r="AP25" i="44"/>
  <c r="AO25" i="44"/>
  <c r="AN25" i="44"/>
  <c r="BT24" i="44"/>
  <c r="BS24" i="44"/>
  <c r="BR24" i="44"/>
  <c r="BQ24" i="44"/>
  <c r="BP24" i="44"/>
  <c r="BO24" i="44"/>
  <c r="BN24" i="44"/>
  <c r="BM24" i="44"/>
  <c r="BL24" i="44"/>
  <c r="BK24" i="44"/>
  <c r="BJ24" i="44"/>
  <c r="BI24" i="44"/>
  <c r="BH24" i="44"/>
  <c r="BG24" i="44"/>
  <c r="BF24" i="44"/>
  <c r="BB24" i="44"/>
  <c r="BA24" i="44"/>
  <c r="AZ24" i="44"/>
  <c r="AY24" i="44"/>
  <c r="AX24" i="44"/>
  <c r="AW24" i="44"/>
  <c r="AV24" i="44"/>
  <c r="AU24" i="44"/>
  <c r="AT24" i="44"/>
  <c r="AS24" i="44"/>
  <c r="AR24" i="44"/>
  <c r="AQ24" i="44"/>
  <c r="AP24" i="44"/>
  <c r="AO24" i="44"/>
  <c r="AN24" i="44"/>
  <c r="BT23" i="44"/>
  <c r="BS23" i="44"/>
  <c r="BR23" i="44"/>
  <c r="BQ23" i="44"/>
  <c r="BP23" i="44"/>
  <c r="BO23" i="44"/>
  <c r="BN23" i="44"/>
  <c r="BM23" i="44"/>
  <c r="BL23" i="44"/>
  <c r="BK23" i="44"/>
  <c r="BJ23" i="44"/>
  <c r="BI23" i="44"/>
  <c r="BH23" i="44"/>
  <c r="BG23" i="44"/>
  <c r="BF23" i="44"/>
  <c r="BB23" i="44"/>
  <c r="BA23" i="44"/>
  <c r="AZ23" i="44"/>
  <c r="AY23" i="44"/>
  <c r="AX23" i="44"/>
  <c r="AW23" i="44"/>
  <c r="AV23" i="44"/>
  <c r="AU23" i="44"/>
  <c r="AT23" i="44"/>
  <c r="AS23" i="44"/>
  <c r="AR23" i="44"/>
  <c r="AQ23" i="44"/>
  <c r="AP23" i="44"/>
  <c r="AO23" i="44"/>
  <c r="AN23" i="44"/>
  <c r="BT22" i="44"/>
  <c r="BS22" i="44"/>
  <c r="BR22" i="44"/>
  <c r="BQ22" i="44"/>
  <c r="BP22" i="44"/>
  <c r="BO22" i="44"/>
  <c r="BN22" i="44"/>
  <c r="BM22" i="44"/>
  <c r="BL22" i="44"/>
  <c r="BK22" i="44"/>
  <c r="BJ22" i="44"/>
  <c r="BI22" i="44"/>
  <c r="BH22" i="44"/>
  <c r="BG22" i="44"/>
  <c r="BF22" i="44"/>
  <c r="BB22" i="44"/>
  <c r="BA22" i="44"/>
  <c r="AZ22" i="44"/>
  <c r="AY22" i="44"/>
  <c r="AX22" i="44"/>
  <c r="AW22" i="44"/>
  <c r="AV22" i="44"/>
  <c r="AU22" i="44"/>
  <c r="AT22" i="44"/>
  <c r="AS22" i="44"/>
  <c r="AR22" i="44"/>
  <c r="AQ22" i="44"/>
  <c r="AP22" i="44"/>
  <c r="AO22" i="44"/>
  <c r="AN22" i="44"/>
  <c r="BT21" i="44"/>
  <c r="BS21" i="44"/>
  <c r="BR21" i="44"/>
  <c r="BQ21" i="44"/>
  <c r="BP21" i="44"/>
  <c r="BO21" i="44"/>
  <c r="BN21" i="44"/>
  <c r="BM21" i="44"/>
  <c r="BL21" i="44"/>
  <c r="BK21" i="44"/>
  <c r="BJ21" i="44"/>
  <c r="BI21" i="44"/>
  <c r="BH21" i="44"/>
  <c r="BG21" i="44"/>
  <c r="BF21" i="44"/>
  <c r="BB21" i="44"/>
  <c r="BA21" i="44"/>
  <c r="AZ21" i="44"/>
  <c r="AY21" i="44"/>
  <c r="AX21" i="44"/>
  <c r="AW21" i="44"/>
  <c r="AV21" i="44"/>
  <c r="AU21" i="44"/>
  <c r="AT21" i="44"/>
  <c r="AS21" i="44"/>
  <c r="AR21" i="44"/>
  <c r="AQ21" i="44"/>
  <c r="AP21" i="44"/>
  <c r="AO21" i="44"/>
  <c r="AN21" i="44"/>
  <c r="BT15" i="44"/>
  <c r="BS15" i="44"/>
  <c r="BR15" i="44"/>
  <c r="BQ15" i="44"/>
  <c r="BP15" i="44"/>
  <c r="BO15" i="44"/>
  <c r="BN15" i="44"/>
  <c r="BM15" i="44"/>
  <c r="BL15" i="44"/>
  <c r="BK15" i="44"/>
  <c r="BJ15" i="44"/>
  <c r="BI15" i="44"/>
  <c r="BH15" i="44"/>
  <c r="BG15" i="44"/>
  <c r="BF15" i="44"/>
  <c r="BB15" i="44"/>
  <c r="BA15" i="44"/>
  <c r="AZ15" i="44"/>
  <c r="AY15" i="44"/>
  <c r="AX15" i="44"/>
  <c r="AW15" i="44"/>
  <c r="AV15" i="44"/>
  <c r="AU15" i="44"/>
  <c r="AT15" i="44"/>
  <c r="AS15" i="44"/>
  <c r="AR15" i="44"/>
  <c r="AQ15" i="44"/>
  <c r="AP15" i="44"/>
  <c r="AO15" i="44"/>
  <c r="AN15" i="44"/>
  <c r="BT14" i="44"/>
  <c r="BS14" i="44"/>
  <c r="BR14" i="44"/>
  <c r="BQ14" i="44"/>
  <c r="BP14" i="44"/>
  <c r="BO14" i="44"/>
  <c r="BN14" i="44"/>
  <c r="BM14" i="44"/>
  <c r="BL14" i="44"/>
  <c r="BK14" i="44"/>
  <c r="BJ14" i="44"/>
  <c r="BI14" i="44"/>
  <c r="BH14" i="44"/>
  <c r="BG14" i="44"/>
  <c r="BF14" i="44"/>
  <c r="BB14" i="44"/>
  <c r="BA14" i="44"/>
  <c r="AZ14" i="44"/>
  <c r="AY14" i="44"/>
  <c r="AX14" i="44"/>
  <c r="AW14" i="44"/>
  <c r="AV14" i="44"/>
  <c r="AU14" i="44"/>
  <c r="AT14" i="44"/>
  <c r="AS14" i="44"/>
  <c r="AR14" i="44"/>
  <c r="AQ14" i="44"/>
  <c r="AP14" i="44"/>
  <c r="AO14" i="44"/>
  <c r="AN14" i="44"/>
  <c r="BT13" i="44"/>
  <c r="BS13" i="44"/>
  <c r="BR13" i="44"/>
  <c r="BQ13" i="44"/>
  <c r="BP13" i="44"/>
  <c r="BO13" i="44"/>
  <c r="BN13" i="44"/>
  <c r="BM13" i="44"/>
  <c r="BL13" i="44"/>
  <c r="BK13" i="44"/>
  <c r="BJ13" i="44"/>
  <c r="BI13" i="44"/>
  <c r="BH13" i="44"/>
  <c r="BG13" i="44"/>
  <c r="BF13" i="44"/>
  <c r="BB13" i="44"/>
  <c r="BA13" i="44"/>
  <c r="AZ13" i="44"/>
  <c r="AY13" i="44"/>
  <c r="AX13" i="44"/>
  <c r="AW13" i="44"/>
  <c r="AV13" i="44"/>
  <c r="AU13" i="44"/>
  <c r="AT13" i="44"/>
  <c r="AS13" i="44"/>
  <c r="AR13" i="44"/>
  <c r="AQ13" i="44"/>
  <c r="AP13" i="44"/>
  <c r="AO13" i="44"/>
  <c r="AN13" i="44"/>
  <c r="BT12" i="44"/>
  <c r="BS12" i="44"/>
  <c r="BR12" i="44"/>
  <c r="BQ12" i="44"/>
  <c r="BP12" i="44"/>
  <c r="BO12" i="44"/>
  <c r="BN12" i="44"/>
  <c r="BM12" i="44"/>
  <c r="BL12" i="44"/>
  <c r="BK12" i="44"/>
  <c r="BJ12" i="44"/>
  <c r="BI12" i="44"/>
  <c r="BH12" i="44"/>
  <c r="BG12" i="44"/>
  <c r="BF12" i="44"/>
  <c r="BB12" i="44"/>
  <c r="BA12" i="44"/>
  <c r="AZ12" i="44"/>
  <c r="AY12" i="44"/>
  <c r="AX12" i="44"/>
  <c r="AW12" i="44"/>
  <c r="AV12" i="44"/>
  <c r="AU12" i="44"/>
  <c r="AT12" i="44"/>
  <c r="AS12" i="44"/>
  <c r="AR12" i="44"/>
  <c r="AQ12" i="44"/>
  <c r="AP12" i="44"/>
  <c r="AO12" i="44"/>
  <c r="AN12" i="44"/>
  <c r="BT11" i="44"/>
  <c r="BS11" i="44"/>
  <c r="BR11" i="44"/>
  <c r="BQ11" i="44"/>
  <c r="BP11" i="44"/>
  <c r="BO11" i="44"/>
  <c r="BN11" i="44"/>
  <c r="BM11" i="44"/>
  <c r="BL11" i="44"/>
  <c r="BK11" i="44"/>
  <c r="BJ11" i="44"/>
  <c r="BI11" i="44"/>
  <c r="BH11" i="44"/>
  <c r="BG11" i="44"/>
  <c r="BF11" i="44"/>
  <c r="BB11" i="44"/>
  <c r="BA11" i="44"/>
  <c r="AZ11" i="44"/>
  <c r="AY11" i="44"/>
  <c r="AX11" i="44"/>
  <c r="AW11" i="44"/>
  <c r="AV11" i="44"/>
  <c r="AU11" i="44"/>
  <c r="AT11" i="44"/>
  <c r="AS11" i="44"/>
  <c r="AR11" i="44"/>
  <c r="AQ11" i="44"/>
  <c r="AP11" i="44"/>
  <c r="AO11" i="44"/>
  <c r="AN11" i="44"/>
  <c r="BT10" i="44"/>
  <c r="BS10" i="44"/>
  <c r="BR10" i="44"/>
  <c r="BQ10" i="44"/>
  <c r="BP10" i="44"/>
  <c r="BO10" i="44"/>
  <c r="BN10" i="44"/>
  <c r="BM10" i="44"/>
  <c r="BL10" i="44"/>
  <c r="BK10" i="44"/>
  <c r="BJ10" i="44"/>
  <c r="BI10" i="44"/>
  <c r="BH10" i="44"/>
  <c r="BG10" i="44"/>
  <c r="BF10" i="44"/>
  <c r="BB10" i="44"/>
  <c r="BA10" i="44"/>
  <c r="AZ10" i="44"/>
  <c r="AY10" i="44"/>
  <c r="AX10" i="44"/>
  <c r="AW10" i="44"/>
  <c r="AV10" i="44"/>
  <c r="AU10" i="44"/>
  <c r="AT10" i="44"/>
  <c r="AS10" i="44"/>
  <c r="AR10" i="44"/>
  <c r="AQ10" i="44"/>
  <c r="AP10" i="44"/>
  <c r="AO10" i="44"/>
  <c r="AN10" i="44"/>
  <c r="BT9" i="44"/>
  <c r="BS9" i="44"/>
  <c r="BR9" i="44"/>
  <c r="BQ9" i="44"/>
  <c r="BP9" i="44"/>
  <c r="BO9" i="44"/>
  <c r="BN9" i="44"/>
  <c r="BM9" i="44"/>
  <c r="BL9" i="44"/>
  <c r="BK9" i="44"/>
  <c r="BJ9" i="44"/>
  <c r="BI9" i="44"/>
  <c r="BH9" i="44"/>
  <c r="BG9" i="44"/>
  <c r="BF9" i="44"/>
  <c r="BB9" i="44"/>
  <c r="BA9" i="44"/>
  <c r="AZ9" i="44"/>
  <c r="AY9" i="44"/>
  <c r="AX9" i="44"/>
  <c r="AW9" i="44"/>
  <c r="AV9" i="44"/>
  <c r="AU9" i="44"/>
  <c r="AT9" i="44"/>
  <c r="AS9" i="44"/>
  <c r="AR9" i="44"/>
  <c r="AQ9" i="44"/>
  <c r="AP9" i="44"/>
  <c r="AO9" i="44"/>
  <c r="AN9" i="44"/>
  <c r="BT8" i="44"/>
  <c r="BS8" i="44"/>
  <c r="BR8" i="44"/>
  <c r="BQ8" i="44"/>
  <c r="BP8" i="44"/>
  <c r="BO8" i="44"/>
  <c r="BN8" i="44"/>
  <c r="BM8" i="44"/>
  <c r="BL8" i="44"/>
  <c r="BK8" i="44"/>
  <c r="BJ8" i="44"/>
  <c r="BI8" i="44"/>
  <c r="BH8" i="44"/>
  <c r="BG8" i="44"/>
  <c r="BF8" i="44"/>
  <c r="BB8" i="44"/>
  <c r="BA8" i="44"/>
  <c r="AZ8" i="44"/>
  <c r="AY8" i="44"/>
  <c r="AX8" i="44"/>
  <c r="AW8" i="44"/>
  <c r="AV8" i="44"/>
  <c r="AU8" i="44"/>
  <c r="AT8" i="44"/>
  <c r="AS8" i="44"/>
  <c r="AR8" i="44"/>
  <c r="AQ8" i="44"/>
  <c r="AP8" i="44"/>
  <c r="AO8" i="44"/>
  <c r="AN8" i="44"/>
  <c r="BT7" i="44"/>
  <c r="BS7" i="44"/>
  <c r="BR7" i="44"/>
  <c r="BQ7" i="44"/>
  <c r="BP7" i="44"/>
  <c r="BO7" i="44"/>
  <c r="BN7" i="44"/>
  <c r="BM7" i="44"/>
  <c r="BL7" i="44"/>
  <c r="BK7" i="44"/>
  <c r="BJ7" i="44"/>
  <c r="BI7" i="44"/>
  <c r="BH7" i="44"/>
  <c r="BG7" i="44"/>
  <c r="BF7" i="44"/>
  <c r="BB7" i="44"/>
  <c r="BA7" i="44"/>
  <c r="AZ7" i="44"/>
  <c r="AY7" i="44"/>
  <c r="AX7" i="44"/>
  <c r="AW7" i="44"/>
  <c r="AV7" i="44"/>
  <c r="AU7" i="44"/>
  <c r="AT7" i="44"/>
  <c r="AS7" i="44"/>
  <c r="AR7" i="44"/>
  <c r="AQ7" i="44"/>
  <c r="AP7" i="44"/>
  <c r="AO7" i="44"/>
  <c r="AN7" i="44"/>
  <c r="BT6" i="44"/>
  <c r="BS6" i="44"/>
  <c r="BR6" i="44"/>
  <c r="BQ6" i="44"/>
  <c r="BP6" i="44"/>
  <c r="BO6" i="44"/>
  <c r="BN6" i="44"/>
  <c r="BM6" i="44"/>
  <c r="BL6" i="44"/>
  <c r="BK6" i="44"/>
  <c r="BJ6" i="44"/>
  <c r="BI6" i="44"/>
  <c r="BH6" i="44"/>
  <c r="BG6" i="44"/>
  <c r="BF6" i="44"/>
  <c r="BB6" i="44"/>
  <c r="BA6" i="44"/>
  <c r="AZ6" i="44"/>
  <c r="AY6" i="44"/>
  <c r="AX6" i="44"/>
  <c r="AW6" i="44"/>
  <c r="AV6" i="44"/>
  <c r="AU6" i="44"/>
  <c r="AT6" i="44"/>
  <c r="AS6" i="44"/>
  <c r="AR6" i="44"/>
  <c r="AQ6" i="44"/>
  <c r="AP6" i="44"/>
  <c r="AO6" i="44"/>
  <c r="AN6" i="44"/>
  <c r="BT5" i="44"/>
  <c r="BS5" i="44"/>
  <c r="BR5" i="44"/>
  <c r="BQ5" i="44"/>
  <c r="BP5" i="44"/>
  <c r="BO5" i="44"/>
  <c r="BN5" i="44"/>
  <c r="BM5" i="44"/>
  <c r="BL5" i="44"/>
  <c r="BK5" i="44"/>
  <c r="BJ5" i="44"/>
  <c r="BI5" i="44"/>
  <c r="BH5" i="44"/>
  <c r="BG5" i="44"/>
  <c r="BF5" i="44"/>
  <c r="BB5" i="44"/>
  <c r="BA5" i="44"/>
  <c r="AZ5" i="44"/>
  <c r="AY5" i="44"/>
  <c r="AX5" i="44"/>
  <c r="AW5" i="44"/>
  <c r="AV5" i="44"/>
  <c r="AU5" i="44"/>
  <c r="AT5" i="44"/>
  <c r="AS5" i="44"/>
  <c r="AR5" i="44"/>
  <c r="AQ5" i="44"/>
  <c r="AP5" i="44"/>
  <c r="AO5" i="44"/>
  <c r="AN5" i="44"/>
  <c r="BT4" i="44"/>
  <c r="BS4" i="44"/>
  <c r="BR4" i="44"/>
  <c r="BQ4" i="44"/>
  <c r="BP4" i="44"/>
  <c r="BO4" i="44"/>
  <c r="BN4" i="44"/>
  <c r="BM4" i="44"/>
  <c r="BL4" i="44"/>
  <c r="BK4" i="44"/>
  <c r="BJ4" i="44"/>
  <c r="BI4" i="44"/>
  <c r="BH4" i="44"/>
  <c r="BG4" i="44"/>
  <c r="BF4" i="44"/>
  <c r="BB4" i="44"/>
  <c r="BA4" i="44"/>
  <c r="AZ4" i="44"/>
  <c r="AY4" i="44"/>
  <c r="AX4" i="44"/>
  <c r="AW4" i="44"/>
  <c r="AV4" i="44"/>
  <c r="AU4" i="44"/>
  <c r="AT4" i="44"/>
  <c r="AS4" i="44"/>
  <c r="AR4" i="44"/>
  <c r="AQ4" i="44"/>
  <c r="AP4" i="44"/>
  <c r="AO4" i="44"/>
  <c r="AN4" i="44"/>
  <c r="BT32" i="43"/>
  <c r="BS32" i="43"/>
  <c r="BR32" i="43"/>
  <c r="BQ32" i="43"/>
  <c r="BP32" i="43"/>
  <c r="BO32" i="43"/>
  <c r="BN32" i="43"/>
  <c r="BM32" i="43"/>
  <c r="BL32" i="43"/>
  <c r="BK32" i="43"/>
  <c r="BJ32" i="43"/>
  <c r="BI32" i="43"/>
  <c r="BH32" i="43"/>
  <c r="BG32" i="43"/>
  <c r="BF32" i="43"/>
  <c r="BB32" i="43"/>
  <c r="BA32" i="43"/>
  <c r="AZ32" i="43"/>
  <c r="AY32" i="43"/>
  <c r="AX32" i="43"/>
  <c r="AW32" i="43"/>
  <c r="AV32" i="43"/>
  <c r="AU32" i="43"/>
  <c r="AT32" i="43"/>
  <c r="AS32" i="43"/>
  <c r="AR32" i="43"/>
  <c r="AQ32" i="43"/>
  <c r="AP32" i="43"/>
  <c r="AO32" i="43"/>
  <c r="AN32" i="43"/>
  <c r="BT31" i="43"/>
  <c r="BS31" i="43"/>
  <c r="BR31" i="43"/>
  <c r="BQ31" i="43"/>
  <c r="BP31" i="43"/>
  <c r="BO31" i="43"/>
  <c r="BN31" i="43"/>
  <c r="BM31" i="43"/>
  <c r="BL31" i="43"/>
  <c r="BK31" i="43"/>
  <c r="BJ31" i="43"/>
  <c r="BI31" i="43"/>
  <c r="BH31" i="43"/>
  <c r="BG31" i="43"/>
  <c r="BF31" i="43"/>
  <c r="BB31" i="43"/>
  <c r="BA31" i="43"/>
  <c r="AZ31" i="43"/>
  <c r="AY31" i="43"/>
  <c r="AX31" i="43"/>
  <c r="AW31" i="43"/>
  <c r="AV31" i="43"/>
  <c r="AU31" i="43"/>
  <c r="AT31" i="43"/>
  <c r="AS31" i="43"/>
  <c r="AR31" i="43"/>
  <c r="AQ31" i="43"/>
  <c r="AP31" i="43"/>
  <c r="AO31" i="43"/>
  <c r="AN31" i="43"/>
  <c r="BT30" i="43"/>
  <c r="BS30" i="43"/>
  <c r="BR30" i="43"/>
  <c r="BQ30" i="43"/>
  <c r="BP30" i="43"/>
  <c r="BO30" i="43"/>
  <c r="BN30" i="43"/>
  <c r="BM30" i="43"/>
  <c r="BL30" i="43"/>
  <c r="BK30" i="43"/>
  <c r="BJ30" i="43"/>
  <c r="BI30" i="43"/>
  <c r="BH30" i="43"/>
  <c r="BG30" i="43"/>
  <c r="BF30" i="43"/>
  <c r="BB30" i="43"/>
  <c r="BA30" i="43"/>
  <c r="AZ30" i="43"/>
  <c r="AY30" i="43"/>
  <c r="AX30" i="43"/>
  <c r="AW30" i="43"/>
  <c r="AV30" i="43"/>
  <c r="AU30" i="43"/>
  <c r="AT30" i="43"/>
  <c r="AS30" i="43"/>
  <c r="AR30" i="43"/>
  <c r="AQ30" i="43"/>
  <c r="AP30" i="43"/>
  <c r="AO30" i="43"/>
  <c r="AN30" i="43"/>
  <c r="BT29" i="43"/>
  <c r="BS29" i="43"/>
  <c r="BR29" i="43"/>
  <c r="BQ29" i="43"/>
  <c r="BP29" i="43"/>
  <c r="BO29" i="43"/>
  <c r="BN29" i="43"/>
  <c r="BM29" i="43"/>
  <c r="BL29" i="43"/>
  <c r="BK29" i="43"/>
  <c r="BJ29" i="43"/>
  <c r="BI29" i="43"/>
  <c r="BH29" i="43"/>
  <c r="BG29" i="43"/>
  <c r="BF29" i="43"/>
  <c r="BB29" i="43"/>
  <c r="BA29" i="43"/>
  <c r="AZ29" i="43"/>
  <c r="AY29" i="43"/>
  <c r="AX29" i="43"/>
  <c r="AW29" i="43"/>
  <c r="AV29" i="43"/>
  <c r="AU29" i="43"/>
  <c r="AT29" i="43"/>
  <c r="AS29" i="43"/>
  <c r="AR29" i="43"/>
  <c r="AQ29" i="43"/>
  <c r="AP29" i="43"/>
  <c r="AO29" i="43"/>
  <c r="AN29" i="43"/>
  <c r="BT28" i="43"/>
  <c r="BS28" i="43"/>
  <c r="BR28" i="43"/>
  <c r="BQ28" i="43"/>
  <c r="BP28" i="43"/>
  <c r="BO28" i="43"/>
  <c r="BN28" i="43"/>
  <c r="BM28" i="43"/>
  <c r="BL28" i="43"/>
  <c r="BK28" i="43"/>
  <c r="BJ28" i="43"/>
  <c r="BI28" i="43"/>
  <c r="BH28" i="43"/>
  <c r="BG28" i="43"/>
  <c r="BF28" i="43"/>
  <c r="BB28" i="43"/>
  <c r="BA28" i="43"/>
  <c r="AZ28" i="43"/>
  <c r="AY28" i="43"/>
  <c r="AX28" i="43"/>
  <c r="AW28" i="43"/>
  <c r="AV28" i="43"/>
  <c r="AU28" i="43"/>
  <c r="AT28" i="43"/>
  <c r="AS28" i="43"/>
  <c r="AR28" i="43"/>
  <c r="AQ28" i="43"/>
  <c r="AP28" i="43"/>
  <c r="AO28" i="43"/>
  <c r="AN28" i="43"/>
  <c r="BT27" i="43"/>
  <c r="BS27" i="43"/>
  <c r="BR27" i="43"/>
  <c r="BQ27" i="43"/>
  <c r="BP27" i="43"/>
  <c r="BO27" i="43"/>
  <c r="BN27" i="43"/>
  <c r="BM27" i="43"/>
  <c r="BL27" i="43"/>
  <c r="BK27" i="43"/>
  <c r="BJ27" i="43"/>
  <c r="BI27" i="43"/>
  <c r="BH27" i="43"/>
  <c r="BG27" i="43"/>
  <c r="BF27" i="43"/>
  <c r="BB27" i="43"/>
  <c r="BA27" i="43"/>
  <c r="AZ27" i="43"/>
  <c r="AY27" i="43"/>
  <c r="AX27" i="43"/>
  <c r="AW27" i="43"/>
  <c r="AV27" i="43"/>
  <c r="AU27" i="43"/>
  <c r="AT27" i="43"/>
  <c r="AS27" i="43"/>
  <c r="AR27" i="43"/>
  <c r="AQ27" i="43"/>
  <c r="AP27" i="43"/>
  <c r="AO27" i="43"/>
  <c r="AN27" i="43"/>
  <c r="BT26" i="43"/>
  <c r="BS26" i="43"/>
  <c r="BR26" i="43"/>
  <c r="BQ26" i="43"/>
  <c r="BP26" i="43"/>
  <c r="BO26" i="43"/>
  <c r="BN26" i="43"/>
  <c r="BM26" i="43"/>
  <c r="BL26" i="43"/>
  <c r="BK26" i="43"/>
  <c r="BJ26" i="43"/>
  <c r="BI26" i="43"/>
  <c r="BH26" i="43"/>
  <c r="BG26" i="43"/>
  <c r="BF26" i="43"/>
  <c r="BB26" i="43"/>
  <c r="BA26" i="43"/>
  <c r="AZ26" i="43"/>
  <c r="AY26" i="43"/>
  <c r="AX26" i="43"/>
  <c r="AW26" i="43"/>
  <c r="AV26" i="43"/>
  <c r="AU26" i="43"/>
  <c r="AT26" i="43"/>
  <c r="AS26" i="43"/>
  <c r="AR26" i="43"/>
  <c r="AQ26" i="43"/>
  <c r="AP26" i="43"/>
  <c r="AO26" i="43"/>
  <c r="AN26" i="43"/>
  <c r="BT25" i="43"/>
  <c r="BS25" i="43"/>
  <c r="BR25" i="43"/>
  <c r="BQ25" i="43"/>
  <c r="BP25" i="43"/>
  <c r="BO25" i="43"/>
  <c r="BN25" i="43"/>
  <c r="BM25" i="43"/>
  <c r="BL25" i="43"/>
  <c r="BK25" i="43"/>
  <c r="BJ25" i="43"/>
  <c r="BI25" i="43"/>
  <c r="BH25" i="43"/>
  <c r="BG25" i="43"/>
  <c r="BF25" i="43"/>
  <c r="BB25" i="43"/>
  <c r="BA25" i="43"/>
  <c r="AZ25" i="43"/>
  <c r="AY25" i="43"/>
  <c r="AX25" i="43"/>
  <c r="AW25" i="43"/>
  <c r="AV25" i="43"/>
  <c r="AU25" i="43"/>
  <c r="AT25" i="43"/>
  <c r="AS25" i="43"/>
  <c r="AR25" i="43"/>
  <c r="AQ25" i="43"/>
  <c r="AP25" i="43"/>
  <c r="AO25" i="43"/>
  <c r="AN25" i="43"/>
  <c r="BT24" i="43"/>
  <c r="BS24" i="43"/>
  <c r="BR24" i="43"/>
  <c r="BQ24" i="43"/>
  <c r="BP24" i="43"/>
  <c r="BO24" i="43"/>
  <c r="BN24" i="43"/>
  <c r="BM24" i="43"/>
  <c r="BL24" i="43"/>
  <c r="BK24" i="43"/>
  <c r="BJ24" i="43"/>
  <c r="BI24" i="43"/>
  <c r="BH24" i="43"/>
  <c r="BG24" i="43"/>
  <c r="BF24" i="43"/>
  <c r="BB24" i="43"/>
  <c r="BA24" i="43"/>
  <c r="AZ24" i="43"/>
  <c r="AY24" i="43"/>
  <c r="AX24" i="43"/>
  <c r="AW24" i="43"/>
  <c r="AV24" i="43"/>
  <c r="AU24" i="43"/>
  <c r="AT24" i="43"/>
  <c r="AS24" i="43"/>
  <c r="AR24" i="43"/>
  <c r="AQ24" i="43"/>
  <c r="AP24" i="43"/>
  <c r="AO24" i="43"/>
  <c r="AN24" i="43"/>
  <c r="BT23" i="43"/>
  <c r="BS23" i="43"/>
  <c r="BR23" i="43"/>
  <c r="BQ23" i="43"/>
  <c r="BP23" i="43"/>
  <c r="BO23" i="43"/>
  <c r="BN23" i="43"/>
  <c r="BM23" i="43"/>
  <c r="BL23" i="43"/>
  <c r="BK23" i="43"/>
  <c r="BJ23" i="43"/>
  <c r="BI23" i="43"/>
  <c r="BH23" i="43"/>
  <c r="BG23" i="43"/>
  <c r="BF23" i="43"/>
  <c r="BB23" i="43"/>
  <c r="BA23" i="43"/>
  <c r="AZ23" i="43"/>
  <c r="AY23" i="43"/>
  <c r="AX23" i="43"/>
  <c r="AW23" i="43"/>
  <c r="AV23" i="43"/>
  <c r="AU23" i="43"/>
  <c r="AT23" i="43"/>
  <c r="AS23" i="43"/>
  <c r="AR23" i="43"/>
  <c r="AQ23" i="43"/>
  <c r="AP23" i="43"/>
  <c r="AO23" i="43"/>
  <c r="AN23" i="43"/>
  <c r="BT22" i="43"/>
  <c r="BS22" i="43"/>
  <c r="BR22" i="43"/>
  <c r="BQ22" i="43"/>
  <c r="BP22" i="43"/>
  <c r="BO22" i="43"/>
  <c r="BN22" i="43"/>
  <c r="BM22" i="43"/>
  <c r="BL22" i="43"/>
  <c r="BK22" i="43"/>
  <c r="BJ22" i="43"/>
  <c r="BI22" i="43"/>
  <c r="BH22" i="43"/>
  <c r="BG22" i="43"/>
  <c r="BF22" i="43"/>
  <c r="BB22" i="43"/>
  <c r="BA22" i="43"/>
  <c r="AZ22" i="43"/>
  <c r="AY22" i="43"/>
  <c r="AX22" i="43"/>
  <c r="AW22" i="43"/>
  <c r="AV22" i="43"/>
  <c r="AU22" i="43"/>
  <c r="AT22" i="43"/>
  <c r="AS22" i="43"/>
  <c r="AR22" i="43"/>
  <c r="AQ22" i="43"/>
  <c r="AP22" i="43"/>
  <c r="AO22" i="43"/>
  <c r="AN22" i="43"/>
  <c r="BT21" i="43"/>
  <c r="BS21" i="43"/>
  <c r="BR21" i="43"/>
  <c r="BQ21" i="43"/>
  <c r="BP21" i="43"/>
  <c r="BO21" i="43"/>
  <c r="BN21" i="43"/>
  <c r="BM21" i="43"/>
  <c r="BL21" i="43"/>
  <c r="BK21" i="43"/>
  <c r="BJ21" i="43"/>
  <c r="BI21" i="43"/>
  <c r="BH21" i="43"/>
  <c r="BG21" i="43"/>
  <c r="BF21" i="43"/>
  <c r="BB21" i="43"/>
  <c r="BA21" i="43"/>
  <c r="AZ21" i="43"/>
  <c r="AY21" i="43"/>
  <c r="AX21" i="43"/>
  <c r="AW21" i="43"/>
  <c r="AV21" i="43"/>
  <c r="AU21" i="43"/>
  <c r="AT21" i="43"/>
  <c r="AS21" i="43"/>
  <c r="AR21" i="43"/>
  <c r="AQ21" i="43"/>
  <c r="AP21" i="43"/>
  <c r="AO21" i="43"/>
  <c r="AN21" i="43"/>
  <c r="BT15" i="43"/>
  <c r="BS15" i="43"/>
  <c r="BR15" i="43"/>
  <c r="BQ15" i="43"/>
  <c r="BP15" i="43"/>
  <c r="BO15" i="43"/>
  <c r="BN15" i="43"/>
  <c r="BM15" i="43"/>
  <c r="BL15" i="43"/>
  <c r="BK15" i="43"/>
  <c r="BJ15" i="43"/>
  <c r="BI15" i="43"/>
  <c r="BH15" i="43"/>
  <c r="BG15" i="43"/>
  <c r="BF15" i="43"/>
  <c r="BB15" i="43"/>
  <c r="BA15" i="43"/>
  <c r="AZ15" i="43"/>
  <c r="AY15" i="43"/>
  <c r="AX15" i="43"/>
  <c r="AW15" i="43"/>
  <c r="AV15" i="43"/>
  <c r="AU15" i="43"/>
  <c r="AT15" i="43"/>
  <c r="AS15" i="43"/>
  <c r="AR15" i="43"/>
  <c r="AQ15" i="43"/>
  <c r="AP15" i="43"/>
  <c r="AO15" i="43"/>
  <c r="AN15" i="43"/>
  <c r="BT14" i="43"/>
  <c r="BS14" i="43"/>
  <c r="BR14" i="43"/>
  <c r="BQ14" i="43"/>
  <c r="BP14" i="43"/>
  <c r="BO14" i="43"/>
  <c r="BN14" i="43"/>
  <c r="BM14" i="43"/>
  <c r="BL14" i="43"/>
  <c r="BK14" i="43"/>
  <c r="BJ14" i="43"/>
  <c r="BI14" i="43"/>
  <c r="BH14" i="43"/>
  <c r="BG14" i="43"/>
  <c r="BF14" i="43"/>
  <c r="BB14" i="43"/>
  <c r="BA14" i="43"/>
  <c r="AZ14" i="43"/>
  <c r="AY14" i="43"/>
  <c r="AX14" i="43"/>
  <c r="AW14" i="43"/>
  <c r="AV14" i="43"/>
  <c r="AU14" i="43"/>
  <c r="AT14" i="43"/>
  <c r="AS14" i="43"/>
  <c r="AR14" i="43"/>
  <c r="AQ14" i="43"/>
  <c r="AP14" i="43"/>
  <c r="AO14" i="43"/>
  <c r="AN14" i="43"/>
  <c r="BT13" i="43"/>
  <c r="BS13" i="43"/>
  <c r="BR13" i="43"/>
  <c r="BQ13" i="43"/>
  <c r="BP13" i="43"/>
  <c r="BO13" i="43"/>
  <c r="BN13" i="43"/>
  <c r="BM13" i="43"/>
  <c r="BL13" i="43"/>
  <c r="BK13" i="43"/>
  <c r="BJ13" i="43"/>
  <c r="BI13" i="43"/>
  <c r="BH13" i="43"/>
  <c r="BG13" i="43"/>
  <c r="BF13" i="43"/>
  <c r="BB13" i="43"/>
  <c r="BA13" i="43"/>
  <c r="AZ13" i="43"/>
  <c r="AY13" i="43"/>
  <c r="AX13" i="43"/>
  <c r="AW13" i="43"/>
  <c r="AV13" i="43"/>
  <c r="AU13" i="43"/>
  <c r="AT13" i="43"/>
  <c r="AS13" i="43"/>
  <c r="AR13" i="43"/>
  <c r="AQ13" i="43"/>
  <c r="AP13" i="43"/>
  <c r="AO13" i="43"/>
  <c r="AN13" i="43"/>
  <c r="BT12" i="43"/>
  <c r="BS12" i="43"/>
  <c r="BR12" i="43"/>
  <c r="BQ12" i="43"/>
  <c r="BP12" i="43"/>
  <c r="BO12" i="43"/>
  <c r="BN12" i="43"/>
  <c r="BM12" i="43"/>
  <c r="BL12" i="43"/>
  <c r="BK12" i="43"/>
  <c r="BJ12" i="43"/>
  <c r="BI12" i="43"/>
  <c r="BH12" i="43"/>
  <c r="BG12" i="43"/>
  <c r="BF12" i="43"/>
  <c r="BB12" i="43"/>
  <c r="BA12" i="43"/>
  <c r="AZ12" i="43"/>
  <c r="AY12" i="43"/>
  <c r="AX12" i="43"/>
  <c r="AW12" i="43"/>
  <c r="AV12" i="43"/>
  <c r="AU12" i="43"/>
  <c r="AT12" i="43"/>
  <c r="AS12" i="43"/>
  <c r="AR12" i="43"/>
  <c r="AQ12" i="43"/>
  <c r="AP12" i="43"/>
  <c r="AO12" i="43"/>
  <c r="AN12" i="43"/>
  <c r="BT11" i="43"/>
  <c r="BS11" i="43"/>
  <c r="BR11" i="43"/>
  <c r="BQ11" i="43"/>
  <c r="BP11" i="43"/>
  <c r="BO11" i="43"/>
  <c r="BN11" i="43"/>
  <c r="BM11" i="43"/>
  <c r="BL11" i="43"/>
  <c r="BK11" i="43"/>
  <c r="BJ11" i="43"/>
  <c r="BI11" i="43"/>
  <c r="BH11" i="43"/>
  <c r="BG11" i="43"/>
  <c r="BF11" i="43"/>
  <c r="BB11" i="43"/>
  <c r="BA11" i="43"/>
  <c r="AZ11" i="43"/>
  <c r="AY11" i="43"/>
  <c r="AX11" i="43"/>
  <c r="AW11" i="43"/>
  <c r="AV11" i="43"/>
  <c r="AU11" i="43"/>
  <c r="AT11" i="43"/>
  <c r="AS11" i="43"/>
  <c r="AR11" i="43"/>
  <c r="AQ11" i="43"/>
  <c r="AP11" i="43"/>
  <c r="AO11" i="43"/>
  <c r="AN11" i="43"/>
  <c r="BT10" i="43"/>
  <c r="BS10" i="43"/>
  <c r="BR10" i="43"/>
  <c r="BQ10" i="43"/>
  <c r="BP10" i="43"/>
  <c r="BO10" i="43"/>
  <c r="BN10" i="43"/>
  <c r="BM10" i="43"/>
  <c r="BL10" i="43"/>
  <c r="BK10" i="43"/>
  <c r="BJ10" i="43"/>
  <c r="BI10" i="43"/>
  <c r="BH10" i="43"/>
  <c r="BG10" i="43"/>
  <c r="BF10" i="43"/>
  <c r="BB10" i="43"/>
  <c r="BA10" i="43"/>
  <c r="AZ10" i="43"/>
  <c r="AY10" i="43"/>
  <c r="AX10" i="43"/>
  <c r="AW10" i="43"/>
  <c r="AV10" i="43"/>
  <c r="AU10" i="43"/>
  <c r="AT10" i="43"/>
  <c r="AS10" i="43"/>
  <c r="AR10" i="43"/>
  <c r="AQ10" i="43"/>
  <c r="AP10" i="43"/>
  <c r="AO10" i="43"/>
  <c r="AN10" i="43"/>
  <c r="BT9" i="43"/>
  <c r="BS9" i="43"/>
  <c r="BR9" i="43"/>
  <c r="BQ9" i="43"/>
  <c r="BP9" i="43"/>
  <c r="BO9" i="43"/>
  <c r="BN9" i="43"/>
  <c r="BM9" i="43"/>
  <c r="BL9" i="43"/>
  <c r="BK9" i="43"/>
  <c r="BJ9" i="43"/>
  <c r="BI9" i="43"/>
  <c r="BH9" i="43"/>
  <c r="BG9" i="43"/>
  <c r="BF9" i="43"/>
  <c r="BB9" i="43"/>
  <c r="BA9" i="43"/>
  <c r="AZ9" i="43"/>
  <c r="AY9" i="43"/>
  <c r="AX9" i="43"/>
  <c r="AW9" i="43"/>
  <c r="AV9" i="43"/>
  <c r="AU9" i="43"/>
  <c r="AT9" i="43"/>
  <c r="AS9" i="43"/>
  <c r="AR9" i="43"/>
  <c r="AQ9" i="43"/>
  <c r="AP9" i="43"/>
  <c r="AO9" i="43"/>
  <c r="AN9" i="43"/>
  <c r="BT8" i="43"/>
  <c r="BS8" i="43"/>
  <c r="BR8" i="43"/>
  <c r="BQ8" i="43"/>
  <c r="BP8" i="43"/>
  <c r="BO8" i="43"/>
  <c r="BN8" i="43"/>
  <c r="BM8" i="43"/>
  <c r="BL8" i="43"/>
  <c r="BK8" i="43"/>
  <c r="BJ8" i="43"/>
  <c r="BI8" i="43"/>
  <c r="BH8" i="43"/>
  <c r="BG8" i="43"/>
  <c r="BF8" i="43"/>
  <c r="BB8" i="43"/>
  <c r="BA8" i="43"/>
  <c r="AZ8" i="43"/>
  <c r="AY8" i="43"/>
  <c r="AX8" i="43"/>
  <c r="AW8" i="43"/>
  <c r="AV8" i="43"/>
  <c r="AU8" i="43"/>
  <c r="AT8" i="43"/>
  <c r="AS8" i="43"/>
  <c r="AR8" i="43"/>
  <c r="AQ8" i="43"/>
  <c r="AP8" i="43"/>
  <c r="AO8" i="43"/>
  <c r="AN8" i="43"/>
  <c r="BT7" i="43"/>
  <c r="BS7" i="43"/>
  <c r="BR7" i="43"/>
  <c r="BQ7" i="43"/>
  <c r="BP7" i="43"/>
  <c r="BO7" i="43"/>
  <c r="BN7" i="43"/>
  <c r="BM7" i="43"/>
  <c r="BL7" i="43"/>
  <c r="BK7" i="43"/>
  <c r="BJ7" i="43"/>
  <c r="BI7" i="43"/>
  <c r="BH7" i="43"/>
  <c r="BG7" i="43"/>
  <c r="BF7" i="43"/>
  <c r="BB7" i="43"/>
  <c r="BA7" i="43"/>
  <c r="AZ7" i="43"/>
  <c r="AY7" i="43"/>
  <c r="AX7" i="43"/>
  <c r="AW7" i="43"/>
  <c r="AV7" i="43"/>
  <c r="AU7" i="43"/>
  <c r="AT7" i="43"/>
  <c r="AS7" i="43"/>
  <c r="AR7" i="43"/>
  <c r="AQ7" i="43"/>
  <c r="AP7" i="43"/>
  <c r="AO7" i="43"/>
  <c r="AN7" i="43"/>
  <c r="BT6" i="43"/>
  <c r="BS6" i="43"/>
  <c r="BR6" i="43"/>
  <c r="BQ6" i="43"/>
  <c r="BP6" i="43"/>
  <c r="BO6" i="43"/>
  <c r="BN6" i="43"/>
  <c r="BM6" i="43"/>
  <c r="BL6" i="43"/>
  <c r="BK6" i="43"/>
  <c r="BJ6" i="43"/>
  <c r="BI6" i="43"/>
  <c r="BH6" i="43"/>
  <c r="BG6" i="43"/>
  <c r="BF6" i="43"/>
  <c r="BB6" i="43"/>
  <c r="BA6" i="43"/>
  <c r="AZ6" i="43"/>
  <c r="AY6" i="43"/>
  <c r="AX6" i="43"/>
  <c r="AW6" i="43"/>
  <c r="AV6" i="43"/>
  <c r="AU6" i="43"/>
  <c r="AT6" i="43"/>
  <c r="AS6" i="43"/>
  <c r="AR6" i="43"/>
  <c r="AQ6" i="43"/>
  <c r="AP6" i="43"/>
  <c r="AO6" i="43"/>
  <c r="AN6" i="43"/>
  <c r="BT5" i="43"/>
  <c r="BS5" i="43"/>
  <c r="BR5" i="43"/>
  <c r="BQ5" i="43"/>
  <c r="BP5" i="43"/>
  <c r="BO5" i="43"/>
  <c r="BN5" i="43"/>
  <c r="BM5" i="43"/>
  <c r="BL5" i="43"/>
  <c r="BK5" i="43"/>
  <c r="BJ5" i="43"/>
  <c r="BI5" i="43"/>
  <c r="BH5" i="43"/>
  <c r="BG5" i="43"/>
  <c r="BF5" i="43"/>
  <c r="BB5" i="43"/>
  <c r="BA5" i="43"/>
  <c r="AZ5" i="43"/>
  <c r="AY5" i="43"/>
  <c r="AX5" i="43"/>
  <c r="AW5" i="43"/>
  <c r="AV5" i="43"/>
  <c r="AU5" i="43"/>
  <c r="AT5" i="43"/>
  <c r="AS5" i="43"/>
  <c r="AR5" i="43"/>
  <c r="AQ5" i="43"/>
  <c r="AP5" i="43"/>
  <c r="AO5" i="43"/>
  <c r="AN5" i="43"/>
  <c r="BT4" i="43"/>
  <c r="BS4" i="43"/>
  <c r="BR4" i="43"/>
  <c r="BR16" i="43" s="1"/>
  <c r="BQ4" i="43"/>
  <c r="BP4" i="43"/>
  <c r="BO4" i="43"/>
  <c r="BN4" i="43"/>
  <c r="BN16" i="43" s="1"/>
  <c r="BM4" i="43"/>
  <c r="BL4" i="43"/>
  <c r="BK4" i="43"/>
  <c r="BJ4" i="43"/>
  <c r="BJ16" i="43" s="1"/>
  <c r="BI4" i="43"/>
  <c r="BH4" i="43"/>
  <c r="BG4" i="43"/>
  <c r="BF4" i="43"/>
  <c r="BB4" i="43"/>
  <c r="BA4" i="43"/>
  <c r="AZ4" i="43"/>
  <c r="AY4" i="43"/>
  <c r="AX4" i="43"/>
  <c r="AW4" i="43"/>
  <c r="AV4" i="43"/>
  <c r="AU4" i="43"/>
  <c r="AT4" i="43"/>
  <c r="AS4" i="43"/>
  <c r="AR4" i="43"/>
  <c r="AQ4" i="43"/>
  <c r="AP4" i="43"/>
  <c r="AO4" i="43"/>
  <c r="AN4" i="43"/>
  <c r="BT32" i="47"/>
  <c r="BS32" i="47"/>
  <c r="BR32" i="47"/>
  <c r="BQ32" i="47"/>
  <c r="BP32" i="47"/>
  <c r="BO32" i="47"/>
  <c r="BN32" i="47"/>
  <c r="BM32" i="47"/>
  <c r="BL32" i="47"/>
  <c r="BK32" i="47"/>
  <c r="BJ32" i="47"/>
  <c r="BI32" i="47"/>
  <c r="BH32" i="47"/>
  <c r="BG32" i="47"/>
  <c r="BF32" i="47"/>
  <c r="BB32" i="47"/>
  <c r="BA32" i="47"/>
  <c r="AZ32" i="47"/>
  <c r="AY32" i="47"/>
  <c r="AX32" i="47"/>
  <c r="AW32" i="47"/>
  <c r="AV32" i="47"/>
  <c r="AU32" i="47"/>
  <c r="AT32" i="47"/>
  <c r="AS32" i="47"/>
  <c r="AR32" i="47"/>
  <c r="AQ32" i="47"/>
  <c r="AP32" i="47"/>
  <c r="AO32" i="47"/>
  <c r="AN32" i="47"/>
  <c r="BT31" i="47"/>
  <c r="BS31" i="47"/>
  <c r="BR31" i="47"/>
  <c r="BQ31" i="47"/>
  <c r="BP31" i="47"/>
  <c r="BO31" i="47"/>
  <c r="BN31" i="47"/>
  <c r="BM31" i="47"/>
  <c r="BL31" i="47"/>
  <c r="BK31" i="47"/>
  <c r="BJ31" i="47"/>
  <c r="BI31" i="47"/>
  <c r="BH31" i="47"/>
  <c r="BG31" i="47"/>
  <c r="BF31" i="47"/>
  <c r="BB31" i="47"/>
  <c r="BA31" i="47"/>
  <c r="AZ31" i="47"/>
  <c r="AY31" i="47"/>
  <c r="AX31" i="47"/>
  <c r="AW31" i="47"/>
  <c r="AV31" i="47"/>
  <c r="AU31" i="47"/>
  <c r="AT31" i="47"/>
  <c r="AS31" i="47"/>
  <c r="AR31" i="47"/>
  <c r="AQ31" i="47"/>
  <c r="AP31" i="47"/>
  <c r="AO31" i="47"/>
  <c r="AN31" i="47"/>
  <c r="BT30" i="47"/>
  <c r="BS30" i="47"/>
  <c r="BR30" i="47"/>
  <c r="BQ30" i="47"/>
  <c r="BP30" i="47"/>
  <c r="BO30" i="47"/>
  <c r="BN30" i="47"/>
  <c r="BM30" i="47"/>
  <c r="BL30" i="47"/>
  <c r="BK30" i="47"/>
  <c r="BJ30" i="47"/>
  <c r="BI30" i="47"/>
  <c r="BH30" i="47"/>
  <c r="BG30" i="47"/>
  <c r="BF30" i="47"/>
  <c r="BB30" i="47"/>
  <c r="BA30" i="47"/>
  <c r="AZ30" i="47"/>
  <c r="AY30" i="47"/>
  <c r="AX30" i="47"/>
  <c r="AW30" i="47"/>
  <c r="AV30" i="47"/>
  <c r="AU30" i="47"/>
  <c r="AT30" i="47"/>
  <c r="AS30" i="47"/>
  <c r="AR30" i="47"/>
  <c r="AQ30" i="47"/>
  <c r="AP30" i="47"/>
  <c r="AO30" i="47"/>
  <c r="AN30" i="47"/>
  <c r="BT29" i="47"/>
  <c r="BS29" i="47"/>
  <c r="BR29" i="47"/>
  <c r="BQ29" i="47"/>
  <c r="BP29" i="47"/>
  <c r="BO29" i="47"/>
  <c r="BN29" i="47"/>
  <c r="BM29" i="47"/>
  <c r="BL29" i="47"/>
  <c r="BK29" i="47"/>
  <c r="BJ29" i="47"/>
  <c r="BI29" i="47"/>
  <c r="BH29" i="47"/>
  <c r="BG29" i="47"/>
  <c r="BF29" i="47"/>
  <c r="BB29" i="47"/>
  <c r="BA29" i="47"/>
  <c r="AZ29" i="47"/>
  <c r="AY29" i="47"/>
  <c r="AX29" i="47"/>
  <c r="AW29" i="47"/>
  <c r="AV29" i="47"/>
  <c r="AU29" i="47"/>
  <c r="AT29" i="47"/>
  <c r="AS29" i="47"/>
  <c r="AR29" i="47"/>
  <c r="AQ29" i="47"/>
  <c r="AP29" i="47"/>
  <c r="AO29" i="47"/>
  <c r="AN29" i="47"/>
  <c r="BT28" i="47"/>
  <c r="BS28" i="47"/>
  <c r="BR28" i="47"/>
  <c r="BQ28" i="47"/>
  <c r="BP28" i="47"/>
  <c r="BO28" i="47"/>
  <c r="BN28" i="47"/>
  <c r="BM28" i="47"/>
  <c r="BL28" i="47"/>
  <c r="BK28" i="47"/>
  <c r="BJ28" i="47"/>
  <c r="BI28" i="47"/>
  <c r="BH28" i="47"/>
  <c r="BG28" i="47"/>
  <c r="BF28" i="47"/>
  <c r="BB28" i="47"/>
  <c r="BA28" i="47"/>
  <c r="AZ28" i="47"/>
  <c r="AY28" i="47"/>
  <c r="AX28" i="47"/>
  <c r="AW28" i="47"/>
  <c r="AV28" i="47"/>
  <c r="AU28" i="47"/>
  <c r="AT28" i="47"/>
  <c r="AS28" i="47"/>
  <c r="AR28" i="47"/>
  <c r="AQ28" i="47"/>
  <c r="AP28" i="47"/>
  <c r="AO28" i="47"/>
  <c r="AN28" i="47"/>
  <c r="BT27" i="47"/>
  <c r="BS27" i="47"/>
  <c r="BR27" i="47"/>
  <c r="BQ27" i="47"/>
  <c r="BP27" i="47"/>
  <c r="BO27" i="47"/>
  <c r="BN27" i="47"/>
  <c r="BM27" i="47"/>
  <c r="BL27" i="47"/>
  <c r="BK27" i="47"/>
  <c r="BJ27" i="47"/>
  <c r="BI27" i="47"/>
  <c r="BH27" i="47"/>
  <c r="BG27" i="47"/>
  <c r="BF27" i="47"/>
  <c r="BB27" i="47"/>
  <c r="BA27" i="47"/>
  <c r="AZ27" i="47"/>
  <c r="AY27" i="47"/>
  <c r="AX27" i="47"/>
  <c r="AW27" i="47"/>
  <c r="AV27" i="47"/>
  <c r="AU27" i="47"/>
  <c r="AT27" i="47"/>
  <c r="AS27" i="47"/>
  <c r="AR27" i="47"/>
  <c r="AQ27" i="47"/>
  <c r="AP27" i="47"/>
  <c r="AO27" i="47"/>
  <c r="AN27" i="47"/>
  <c r="BT26" i="47"/>
  <c r="BS26" i="47"/>
  <c r="BR26" i="47"/>
  <c r="BQ26" i="47"/>
  <c r="BP26" i="47"/>
  <c r="BO26" i="47"/>
  <c r="BN26" i="47"/>
  <c r="BM26" i="47"/>
  <c r="BL26" i="47"/>
  <c r="BK26" i="47"/>
  <c r="BJ26" i="47"/>
  <c r="BI26" i="47"/>
  <c r="BH26" i="47"/>
  <c r="BG26" i="47"/>
  <c r="BF26" i="47"/>
  <c r="BB26" i="47"/>
  <c r="BA26" i="47"/>
  <c r="AZ26" i="47"/>
  <c r="AY26" i="47"/>
  <c r="AX26" i="47"/>
  <c r="AW26" i="47"/>
  <c r="AV26" i="47"/>
  <c r="AU26" i="47"/>
  <c r="AT26" i="47"/>
  <c r="AS26" i="47"/>
  <c r="AR26" i="47"/>
  <c r="AQ26" i="47"/>
  <c r="AP26" i="47"/>
  <c r="AO26" i="47"/>
  <c r="AN26" i="47"/>
  <c r="BT25" i="47"/>
  <c r="BS25" i="47"/>
  <c r="BR25" i="47"/>
  <c r="BQ25" i="47"/>
  <c r="BP25" i="47"/>
  <c r="BO25" i="47"/>
  <c r="BN25" i="47"/>
  <c r="BM25" i="47"/>
  <c r="BL25" i="47"/>
  <c r="BK25" i="47"/>
  <c r="BJ25" i="47"/>
  <c r="BI25" i="47"/>
  <c r="BH25" i="47"/>
  <c r="BG25" i="47"/>
  <c r="BF25" i="47"/>
  <c r="BB25" i="47"/>
  <c r="BA25" i="47"/>
  <c r="AZ25" i="47"/>
  <c r="AY25" i="47"/>
  <c r="AX25" i="47"/>
  <c r="AW25" i="47"/>
  <c r="AV25" i="47"/>
  <c r="AU25" i="47"/>
  <c r="AT25" i="47"/>
  <c r="AS25" i="47"/>
  <c r="AR25" i="47"/>
  <c r="AQ25" i="47"/>
  <c r="AP25" i="47"/>
  <c r="AO25" i="47"/>
  <c r="AN25" i="47"/>
  <c r="BT24" i="47"/>
  <c r="BS24" i="47"/>
  <c r="BR24" i="47"/>
  <c r="BQ24" i="47"/>
  <c r="BP24" i="47"/>
  <c r="BO24" i="47"/>
  <c r="BN24" i="47"/>
  <c r="BM24" i="47"/>
  <c r="BL24" i="47"/>
  <c r="BK24" i="47"/>
  <c r="BJ24" i="47"/>
  <c r="BI24" i="47"/>
  <c r="BH24" i="47"/>
  <c r="BG24" i="47"/>
  <c r="BF24" i="47"/>
  <c r="BB24" i="47"/>
  <c r="BA24" i="47"/>
  <c r="AZ24" i="47"/>
  <c r="AY24" i="47"/>
  <c r="AX24" i="47"/>
  <c r="AW24" i="47"/>
  <c r="AV24" i="47"/>
  <c r="AU24" i="47"/>
  <c r="AT24" i="47"/>
  <c r="AS24" i="47"/>
  <c r="AR24" i="47"/>
  <c r="AQ24" i="47"/>
  <c r="AP24" i="47"/>
  <c r="AO24" i="47"/>
  <c r="AN24" i="47"/>
  <c r="BT23" i="47"/>
  <c r="BS23" i="47"/>
  <c r="BR23" i="47"/>
  <c r="BQ23" i="47"/>
  <c r="BP23" i="47"/>
  <c r="BO23" i="47"/>
  <c r="BN23" i="47"/>
  <c r="BM23" i="47"/>
  <c r="BL23" i="47"/>
  <c r="BK23" i="47"/>
  <c r="BJ23" i="47"/>
  <c r="BI23" i="47"/>
  <c r="BH23" i="47"/>
  <c r="BG23" i="47"/>
  <c r="BF23" i="47"/>
  <c r="BB23" i="47"/>
  <c r="BA23" i="47"/>
  <c r="AZ23" i="47"/>
  <c r="AY23" i="47"/>
  <c r="AX23" i="47"/>
  <c r="AW23" i="47"/>
  <c r="AV23" i="47"/>
  <c r="AU23" i="47"/>
  <c r="AT23" i="47"/>
  <c r="AS23" i="47"/>
  <c r="AR23" i="47"/>
  <c r="AQ23" i="47"/>
  <c r="AP23" i="47"/>
  <c r="AO23" i="47"/>
  <c r="AN23" i="47"/>
  <c r="BT22" i="47"/>
  <c r="BS22" i="47"/>
  <c r="BR22" i="47"/>
  <c r="BQ22" i="47"/>
  <c r="BP22" i="47"/>
  <c r="BO22" i="47"/>
  <c r="BN22" i="47"/>
  <c r="BM22" i="47"/>
  <c r="BL22" i="47"/>
  <c r="BK22" i="47"/>
  <c r="BJ22" i="47"/>
  <c r="BI22" i="47"/>
  <c r="BH22" i="47"/>
  <c r="BG22" i="47"/>
  <c r="BF22" i="47"/>
  <c r="BB22" i="47"/>
  <c r="BA22" i="47"/>
  <c r="AZ22" i="47"/>
  <c r="AY22" i="47"/>
  <c r="AX22" i="47"/>
  <c r="AW22" i="47"/>
  <c r="AV22" i="47"/>
  <c r="AU22" i="47"/>
  <c r="AT22" i="47"/>
  <c r="AS22" i="47"/>
  <c r="AR22" i="47"/>
  <c r="AQ22" i="47"/>
  <c r="AP22" i="47"/>
  <c r="AO22" i="47"/>
  <c r="AN22" i="47"/>
  <c r="BT21" i="47"/>
  <c r="BS21" i="47"/>
  <c r="BR21" i="47"/>
  <c r="BQ21" i="47"/>
  <c r="BP21" i="47"/>
  <c r="BO21" i="47"/>
  <c r="BN21" i="47"/>
  <c r="BM21" i="47"/>
  <c r="BL21" i="47"/>
  <c r="BK21" i="47"/>
  <c r="BJ21" i="47"/>
  <c r="BI21" i="47"/>
  <c r="BH21" i="47"/>
  <c r="BG21" i="47"/>
  <c r="BF21" i="47"/>
  <c r="BB21" i="47"/>
  <c r="BA21" i="47"/>
  <c r="AZ21" i="47"/>
  <c r="AY21" i="47"/>
  <c r="AX21" i="47"/>
  <c r="AW21" i="47"/>
  <c r="AV21" i="47"/>
  <c r="AU21" i="47"/>
  <c r="AT21" i="47"/>
  <c r="AS21" i="47"/>
  <c r="AR21" i="47"/>
  <c r="AQ21" i="47"/>
  <c r="AP21" i="47"/>
  <c r="AO21" i="47"/>
  <c r="AN21" i="47"/>
  <c r="BT15" i="47"/>
  <c r="BS15" i="47"/>
  <c r="BR15" i="47"/>
  <c r="BQ15" i="47"/>
  <c r="BP15" i="47"/>
  <c r="BO15" i="47"/>
  <c r="BN15" i="47"/>
  <c r="BM15" i="47"/>
  <c r="BL15" i="47"/>
  <c r="BK15" i="47"/>
  <c r="BJ15" i="47"/>
  <c r="BI15" i="47"/>
  <c r="BH15" i="47"/>
  <c r="BG15" i="47"/>
  <c r="BF15" i="47"/>
  <c r="BB15" i="47"/>
  <c r="BA15" i="47"/>
  <c r="AZ15" i="47"/>
  <c r="AY15" i="47"/>
  <c r="AX15" i="47"/>
  <c r="AW15" i="47"/>
  <c r="AV15" i="47"/>
  <c r="AU15" i="47"/>
  <c r="AT15" i="47"/>
  <c r="AS15" i="47"/>
  <c r="AR15" i="47"/>
  <c r="AQ15" i="47"/>
  <c r="AP15" i="47"/>
  <c r="AO15" i="47"/>
  <c r="AN15" i="47"/>
  <c r="BT14" i="47"/>
  <c r="BS14" i="47"/>
  <c r="BR14" i="47"/>
  <c r="BQ14" i="47"/>
  <c r="BP14" i="47"/>
  <c r="BO14" i="47"/>
  <c r="BN14" i="47"/>
  <c r="BM14" i="47"/>
  <c r="BL14" i="47"/>
  <c r="BK14" i="47"/>
  <c r="BJ14" i="47"/>
  <c r="BI14" i="47"/>
  <c r="BH14" i="47"/>
  <c r="BG14" i="47"/>
  <c r="BF14" i="47"/>
  <c r="BB14" i="47"/>
  <c r="BA14" i="47"/>
  <c r="AZ14" i="47"/>
  <c r="AY14" i="47"/>
  <c r="AX14" i="47"/>
  <c r="AW14" i="47"/>
  <c r="AV14" i="47"/>
  <c r="AU14" i="47"/>
  <c r="AT14" i="47"/>
  <c r="AS14" i="47"/>
  <c r="AR14" i="47"/>
  <c r="AQ14" i="47"/>
  <c r="AP14" i="47"/>
  <c r="AO14" i="47"/>
  <c r="AN14" i="47"/>
  <c r="BT13" i="47"/>
  <c r="BS13" i="47"/>
  <c r="BR13" i="47"/>
  <c r="BQ13" i="47"/>
  <c r="BP13" i="47"/>
  <c r="BO13" i="47"/>
  <c r="BN13" i="47"/>
  <c r="BM13" i="47"/>
  <c r="BL13" i="47"/>
  <c r="BK13" i="47"/>
  <c r="BJ13" i="47"/>
  <c r="BI13" i="47"/>
  <c r="BH13" i="47"/>
  <c r="BG13" i="47"/>
  <c r="BF13" i="47"/>
  <c r="BB13" i="47"/>
  <c r="BA13" i="47"/>
  <c r="AZ13" i="47"/>
  <c r="AY13" i="47"/>
  <c r="AX13" i="47"/>
  <c r="AW13" i="47"/>
  <c r="AV13" i="47"/>
  <c r="AU13" i="47"/>
  <c r="AT13" i="47"/>
  <c r="AS13" i="47"/>
  <c r="AR13" i="47"/>
  <c r="AQ13" i="47"/>
  <c r="AP13" i="47"/>
  <c r="AO13" i="47"/>
  <c r="AN13" i="47"/>
  <c r="BT12" i="47"/>
  <c r="BS12" i="47"/>
  <c r="BR12" i="47"/>
  <c r="BQ12" i="47"/>
  <c r="BP12" i="47"/>
  <c r="BO12" i="47"/>
  <c r="BN12" i="47"/>
  <c r="BM12" i="47"/>
  <c r="BL12" i="47"/>
  <c r="BK12" i="47"/>
  <c r="BJ12" i="47"/>
  <c r="BI12" i="47"/>
  <c r="BH12" i="47"/>
  <c r="BG12" i="47"/>
  <c r="BF12" i="47"/>
  <c r="BB12" i="47"/>
  <c r="BA12" i="47"/>
  <c r="AZ12" i="47"/>
  <c r="AY12" i="47"/>
  <c r="AX12" i="47"/>
  <c r="AW12" i="47"/>
  <c r="AV12" i="47"/>
  <c r="AU12" i="47"/>
  <c r="AT12" i="47"/>
  <c r="AS12" i="47"/>
  <c r="AR12" i="47"/>
  <c r="AQ12" i="47"/>
  <c r="AP12" i="47"/>
  <c r="AO12" i="47"/>
  <c r="AN12" i="47"/>
  <c r="BT11" i="47"/>
  <c r="BS11" i="47"/>
  <c r="BR11" i="47"/>
  <c r="BQ11" i="47"/>
  <c r="BP11" i="47"/>
  <c r="BO11" i="47"/>
  <c r="BN11" i="47"/>
  <c r="BM11" i="47"/>
  <c r="BL11" i="47"/>
  <c r="BK11" i="47"/>
  <c r="BJ11" i="47"/>
  <c r="BI11" i="47"/>
  <c r="BH11" i="47"/>
  <c r="BG11" i="47"/>
  <c r="BF11" i="47"/>
  <c r="BB11" i="47"/>
  <c r="BA11" i="47"/>
  <c r="AZ11" i="47"/>
  <c r="AY11" i="47"/>
  <c r="AX11" i="47"/>
  <c r="AW11" i="47"/>
  <c r="AV11" i="47"/>
  <c r="AU11" i="47"/>
  <c r="AT11" i="47"/>
  <c r="AS11" i="47"/>
  <c r="AR11" i="47"/>
  <c r="AQ11" i="47"/>
  <c r="AP11" i="47"/>
  <c r="AO11" i="47"/>
  <c r="AN11" i="47"/>
  <c r="BT10" i="47"/>
  <c r="BS10" i="47"/>
  <c r="BR10" i="47"/>
  <c r="BQ10" i="47"/>
  <c r="BP10" i="47"/>
  <c r="BO10" i="47"/>
  <c r="BN10" i="47"/>
  <c r="BM10" i="47"/>
  <c r="BL10" i="47"/>
  <c r="BK10" i="47"/>
  <c r="BJ10" i="47"/>
  <c r="BI10" i="47"/>
  <c r="BH10" i="47"/>
  <c r="BG10" i="47"/>
  <c r="BF10" i="47"/>
  <c r="BB10" i="47"/>
  <c r="BA10" i="47"/>
  <c r="AZ10" i="47"/>
  <c r="AY10" i="47"/>
  <c r="AX10" i="47"/>
  <c r="AW10" i="47"/>
  <c r="AV10" i="47"/>
  <c r="AU10" i="47"/>
  <c r="AT10" i="47"/>
  <c r="AS10" i="47"/>
  <c r="AR10" i="47"/>
  <c r="AQ10" i="47"/>
  <c r="AP10" i="47"/>
  <c r="AO10" i="47"/>
  <c r="AN10" i="47"/>
  <c r="BT9" i="47"/>
  <c r="BS9" i="47"/>
  <c r="BR9" i="47"/>
  <c r="BQ9" i="47"/>
  <c r="BP9" i="47"/>
  <c r="BO9" i="47"/>
  <c r="BN9" i="47"/>
  <c r="BM9" i="47"/>
  <c r="BL9" i="47"/>
  <c r="BK9" i="47"/>
  <c r="BJ9" i="47"/>
  <c r="BI9" i="47"/>
  <c r="BH9" i="47"/>
  <c r="BG9" i="47"/>
  <c r="BF9" i="47"/>
  <c r="BB9" i="47"/>
  <c r="BA9" i="47"/>
  <c r="AZ9" i="47"/>
  <c r="AY9" i="47"/>
  <c r="AX9" i="47"/>
  <c r="AW9" i="47"/>
  <c r="AV9" i="47"/>
  <c r="AU9" i="47"/>
  <c r="AT9" i="47"/>
  <c r="AS9" i="47"/>
  <c r="AR9" i="47"/>
  <c r="AQ9" i="47"/>
  <c r="AP9" i="47"/>
  <c r="AO9" i="47"/>
  <c r="AN9" i="47"/>
  <c r="BT8" i="47"/>
  <c r="BS8" i="47"/>
  <c r="BR8" i="47"/>
  <c r="BQ8" i="47"/>
  <c r="BP8" i="47"/>
  <c r="BO8" i="47"/>
  <c r="BN8" i="47"/>
  <c r="BM8" i="47"/>
  <c r="BL8" i="47"/>
  <c r="BK8" i="47"/>
  <c r="BJ8" i="47"/>
  <c r="BI8" i="47"/>
  <c r="BH8" i="47"/>
  <c r="BG8" i="47"/>
  <c r="BF8" i="47"/>
  <c r="BB8" i="47"/>
  <c r="BA8" i="47"/>
  <c r="AZ8" i="47"/>
  <c r="AY8" i="47"/>
  <c r="AX8" i="47"/>
  <c r="AW8" i="47"/>
  <c r="AV8" i="47"/>
  <c r="AU8" i="47"/>
  <c r="AT8" i="47"/>
  <c r="AS8" i="47"/>
  <c r="AR8" i="47"/>
  <c r="AQ8" i="47"/>
  <c r="AP8" i="47"/>
  <c r="AO8" i="47"/>
  <c r="AN8" i="47"/>
  <c r="BT7" i="47"/>
  <c r="BS7" i="47"/>
  <c r="BR7" i="47"/>
  <c r="BQ7" i="47"/>
  <c r="BP7" i="47"/>
  <c r="BO7" i="47"/>
  <c r="BN7" i="47"/>
  <c r="BM7" i="47"/>
  <c r="BL7" i="47"/>
  <c r="BK7" i="47"/>
  <c r="BJ7" i="47"/>
  <c r="BI7" i="47"/>
  <c r="BH7" i="47"/>
  <c r="BG7" i="47"/>
  <c r="BF7" i="47"/>
  <c r="BB7" i="47"/>
  <c r="BA7" i="47"/>
  <c r="AZ7" i="47"/>
  <c r="AY7" i="47"/>
  <c r="AX7" i="47"/>
  <c r="AW7" i="47"/>
  <c r="AV7" i="47"/>
  <c r="AU7" i="47"/>
  <c r="AT7" i="47"/>
  <c r="AS7" i="47"/>
  <c r="AR7" i="47"/>
  <c r="AQ7" i="47"/>
  <c r="AP7" i="47"/>
  <c r="AO7" i="47"/>
  <c r="AN7" i="47"/>
  <c r="BT6" i="47"/>
  <c r="BS6" i="47"/>
  <c r="BR6" i="47"/>
  <c r="BQ6" i="47"/>
  <c r="BP6" i="47"/>
  <c r="BO6" i="47"/>
  <c r="BN6" i="47"/>
  <c r="BM6" i="47"/>
  <c r="BL6" i="47"/>
  <c r="BK6" i="47"/>
  <c r="BJ6" i="47"/>
  <c r="BI6" i="47"/>
  <c r="BH6" i="47"/>
  <c r="BG6" i="47"/>
  <c r="BF6" i="47"/>
  <c r="BB6" i="47"/>
  <c r="BA6" i="47"/>
  <c r="AZ6" i="47"/>
  <c r="AY6" i="47"/>
  <c r="AX6" i="47"/>
  <c r="AW6" i="47"/>
  <c r="AV6" i="47"/>
  <c r="AU6" i="47"/>
  <c r="AT6" i="47"/>
  <c r="AS6" i="47"/>
  <c r="AR6" i="47"/>
  <c r="AQ6" i="47"/>
  <c r="AP6" i="47"/>
  <c r="AO6" i="47"/>
  <c r="AN6" i="47"/>
  <c r="BT5" i="47"/>
  <c r="BS5" i="47"/>
  <c r="BR5" i="47"/>
  <c r="BQ5" i="47"/>
  <c r="BP5" i="47"/>
  <c r="BO5" i="47"/>
  <c r="BN5" i="47"/>
  <c r="BM5" i="47"/>
  <c r="BL5" i="47"/>
  <c r="BK5" i="47"/>
  <c r="BJ5" i="47"/>
  <c r="BI5" i="47"/>
  <c r="BH5" i="47"/>
  <c r="BG5" i="47"/>
  <c r="BF5" i="47"/>
  <c r="BB5" i="47"/>
  <c r="BA5" i="47"/>
  <c r="AZ5" i="47"/>
  <c r="AY5" i="47"/>
  <c r="AX5" i="47"/>
  <c r="AW5" i="47"/>
  <c r="AV5" i="47"/>
  <c r="AU5" i="47"/>
  <c r="AT5" i="47"/>
  <c r="AS5" i="47"/>
  <c r="AR5" i="47"/>
  <c r="AQ5" i="47"/>
  <c r="AP5" i="47"/>
  <c r="AO5" i="47"/>
  <c r="AN5" i="47"/>
  <c r="BT4" i="47"/>
  <c r="BS4" i="47"/>
  <c r="BR4" i="47"/>
  <c r="BQ4" i="47"/>
  <c r="BQ16" i="47" s="1"/>
  <c r="BP4" i="47"/>
  <c r="BO4" i="47"/>
  <c r="BN4" i="47"/>
  <c r="BM4" i="47"/>
  <c r="BM16" i="47" s="1"/>
  <c r="BL4" i="47"/>
  <c r="BK4" i="47"/>
  <c r="BJ4" i="47"/>
  <c r="BI4" i="47"/>
  <c r="BI16" i="47" s="1"/>
  <c r="BH4" i="47"/>
  <c r="BG4" i="47"/>
  <c r="BF4" i="47"/>
  <c r="BB4" i="47"/>
  <c r="BA4" i="47"/>
  <c r="AZ4" i="47"/>
  <c r="AY4" i="47"/>
  <c r="AX4" i="47"/>
  <c r="AW4" i="47"/>
  <c r="AV4" i="47"/>
  <c r="AU4" i="47"/>
  <c r="AT4" i="47"/>
  <c r="AS4" i="47"/>
  <c r="AR4" i="47"/>
  <c r="AQ4" i="47"/>
  <c r="AP4" i="47"/>
  <c r="AO4" i="47"/>
  <c r="AN4" i="47"/>
  <c r="BT32" i="42"/>
  <c r="BS32" i="42"/>
  <c r="BR32" i="42"/>
  <c r="BQ32" i="42"/>
  <c r="BP32" i="42"/>
  <c r="BO32" i="42"/>
  <c r="BN32" i="42"/>
  <c r="BM32" i="42"/>
  <c r="BL32" i="42"/>
  <c r="BK32" i="42"/>
  <c r="BJ32" i="42"/>
  <c r="BI32" i="42"/>
  <c r="BH32" i="42"/>
  <c r="BG32" i="42"/>
  <c r="BF32" i="42"/>
  <c r="BB32" i="42"/>
  <c r="BA32" i="42"/>
  <c r="AZ32" i="42"/>
  <c r="AY32" i="42"/>
  <c r="AX32" i="42"/>
  <c r="AW32" i="42"/>
  <c r="AV32" i="42"/>
  <c r="AU32" i="42"/>
  <c r="AT32" i="42"/>
  <c r="AS32" i="42"/>
  <c r="AR32" i="42"/>
  <c r="AQ32" i="42"/>
  <c r="AP32" i="42"/>
  <c r="AO32" i="42"/>
  <c r="AN32" i="42"/>
  <c r="BT31" i="42"/>
  <c r="BS31" i="42"/>
  <c r="BR31" i="42"/>
  <c r="BQ31" i="42"/>
  <c r="BP31" i="42"/>
  <c r="BO31" i="42"/>
  <c r="BN31" i="42"/>
  <c r="BM31" i="42"/>
  <c r="BL31" i="42"/>
  <c r="BK31" i="42"/>
  <c r="BJ31" i="42"/>
  <c r="BI31" i="42"/>
  <c r="BH31" i="42"/>
  <c r="BG31" i="42"/>
  <c r="BF31" i="42"/>
  <c r="BB31" i="42"/>
  <c r="BA31" i="42"/>
  <c r="AZ31" i="42"/>
  <c r="AY31" i="42"/>
  <c r="AX31" i="42"/>
  <c r="AW31" i="42"/>
  <c r="AV31" i="42"/>
  <c r="AU31" i="42"/>
  <c r="AT31" i="42"/>
  <c r="AS31" i="42"/>
  <c r="AR31" i="42"/>
  <c r="AQ31" i="42"/>
  <c r="AP31" i="42"/>
  <c r="AO31" i="42"/>
  <c r="AN31" i="42"/>
  <c r="BT30" i="42"/>
  <c r="BS30" i="42"/>
  <c r="BR30" i="42"/>
  <c r="BQ30" i="42"/>
  <c r="BP30" i="42"/>
  <c r="BO30" i="42"/>
  <c r="BN30" i="42"/>
  <c r="BM30" i="42"/>
  <c r="BL30" i="42"/>
  <c r="BK30" i="42"/>
  <c r="BJ30" i="42"/>
  <c r="BI30" i="42"/>
  <c r="BH30" i="42"/>
  <c r="BG30" i="42"/>
  <c r="BF30" i="42"/>
  <c r="BB30" i="42"/>
  <c r="BA30" i="42"/>
  <c r="AZ30" i="42"/>
  <c r="AY30" i="42"/>
  <c r="AX30" i="42"/>
  <c r="AW30" i="42"/>
  <c r="AV30" i="42"/>
  <c r="AU30" i="42"/>
  <c r="AT30" i="42"/>
  <c r="AS30" i="42"/>
  <c r="AR30" i="42"/>
  <c r="AQ30" i="42"/>
  <c r="AP30" i="42"/>
  <c r="AO30" i="42"/>
  <c r="AN30" i="42"/>
  <c r="BT29" i="42"/>
  <c r="BS29" i="42"/>
  <c r="BR29" i="42"/>
  <c r="BQ29" i="42"/>
  <c r="BP29" i="42"/>
  <c r="BO29" i="42"/>
  <c r="BN29" i="42"/>
  <c r="BM29" i="42"/>
  <c r="BL29" i="42"/>
  <c r="BK29" i="42"/>
  <c r="BJ29" i="42"/>
  <c r="BI29" i="42"/>
  <c r="BH29" i="42"/>
  <c r="BG29" i="42"/>
  <c r="BF29" i="42"/>
  <c r="BB29" i="42"/>
  <c r="BA29" i="42"/>
  <c r="AZ29" i="42"/>
  <c r="AY29" i="42"/>
  <c r="AX29" i="42"/>
  <c r="AW29" i="42"/>
  <c r="AV29" i="42"/>
  <c r="AU29" i="42"/>
  <c r="AT29" i="42"/>
  <c r="AS29" i="42"/>
  <c r="AR29" i="42"/>
  <c r="AQ29" i="42"/>
  <c r="AP29" i="42"/>
  <c r="AO29" i="42"/>
  <c r="AN29" i="42"/>
  <c r="BT28" i="42"/>
  <c r="BS28" i="42"/>
  <c r="BR28" i="42"/>
  <c r="BQ28" i="42"/>
  <c r="BP28" i="42"/>
  <c r="BO28" i="42"/>
  <c r="BN28" i="42"/>
  <c r="BM28" i="42"/>
  <c r="BL28" i="42"/>
  <c r="BK28" i="42"/>
  <c r="BJ28" i="42"/>
  <c r="BI28" i="42"/>
  <c r="BH28" i="42"/>
  <c r="BG28" i="42"/>
  <c r="BF28" i="42"/>
  <c r="BB28" i="42"/>
  <c r="BA28" i="42"/>
  <c r="AZ28" i="42"/>
  <c r="AY28" i="42"/>
  <c r="AX28" i="42"/>
  <c r="AW28" i="42"/>
  <c r="AV28" i="42"/>
  <c r="AU28" i="42"/>
  <c r="AT28" i="42"/>
  <c r="AS28" i="42"/>
  <c r="AR28" i="42"/>
  <c r="AQ28" i="42"/>
  <c r="AP28" i="42"/>
  <c r="AO28" i="42"/>
  <c r="AN28" i="42"/>
  <c r="BT27" i="42"/>
  <c r="BS27" i="42"/>
  <c r="BR27" i="42"/>
  <c r="BQ27" i="42"/>
  <c r="BP27" i="42"/>
  <c r="BO27" i="42"/>
  <c r="BN27" i="42"/>
  <c r="BM27" i="42"/>
  <c r="BL27" i="42"/>
  <c r="BK27" i="42"/>
  <c r="BJ27" i="42"/>
  <c r="BI27" i="42"/>
  <c r="BH27" i="42"/>
  <c r="BG27" i="42"/>
  <c r="BF27" i="42"/>
  <c r="BB27" i="42"/>
  <c r="BA27" i="42"/>
  <c r="AZ27" i="42"/>
  <c r="AY27" i="42"/>
  <c r="AX27" i="42"/>
  <c r="AW27" i="42"/>
  <c r="AV27" i="42"/>
  <c r="AU27" i="42"/>
  <c r="AT27" i="42"/>
  <c r="AS27" i="42"/>
  <c r="AR27" i="42"/>
  <c r="AQ27" i="42"/>
  <c r="AP27" i="42"/>
  <c r="AO27" i="42"/>
  <c r="AN27" i="42"/>
  <c r="BT26" i="42"/>
  <c r="BS26" i="42"/>
  <c r="BR26" i="42"/>
  <c r="BQ26" i="42"/>
  <c r="BP26" i="42"/>
  <c r="BO26" i="42"/>
  <c r="BN26" i="42"/>
  <c r="BM26" i="42"/>
  <c r="BL26" i="42"/>
  <c r="BK26" i="42"/>
  <c r="BJ26" i="42"/>
  <c r="BI26" i="42"/>
  <c r="BH26" i="42"/>
  <c r="BG26" i="42"/>
  <c r="BF26" i="42"/>
  <c r="BB26" i="42"/>
  <c r="BA26" i="42"/>
  <c r="AZ26" i="42"/>
  <c r="AY26" i="42"/>
  <c r="AX26" i="42"/>
  <c r="AW26" i="42"/>
  <c r="AV26" i="42"/>
  <c r="AU26" i="42"/>
  <c r="AT26" i="42"/>
  <c r="AS26" i="42"/>
  <c r="AR26" i="42"/>
  <c r="AQ26" i="42"/>
  <c r="AP26" i="42"/>
  <c r="AO26" i="42"/>
  <c r="AN26" i="42"/>
  <c r="BT25" i="42"/>
  <c r="BS25" i="42"/>
  <c r="BR25" i="42"/>
  <c r="BQ25" i="42"/>
  <c r="BP25" i="42"/>
  <c r="BO25" i="42"/>
  <c r="BN25" i="42"/>
  <c r="BM25" i="42"/>
  <c r="BL25" i="42"/>
  <c r="BK25" i="42"/>
  <c r="BJ25" i="42"/>
  <c r="BI25" i="42"/>
  <c r="BH25" i="42"/>
  <c r="BG25" i="42"/>
  <c r="BF25" i="42"/>
  <c r="BB25" i="42"/>
  <c r="BA25" i="42"/>
  <c r="AZ25" i="42"/>
  <c r="AY25" i="42"/>
  <c r="AX25" i="42"/>
  <c r="AW25" i="42"/>
  <c r="AV25" i="42"/>
  <c r="AU25" i="42"/>
  <c r="AT25" i="42"/>
  <c r="AS25" i="42"/>
  <c r="AR25" i="42"/>
  <c r="AQ25" i="42"/>
  <c r="AP25" i="42"/>
  <c r="AO25" i="42"/>
  <c r="AN25" i="42"/>
  <c r="BT24" i="42"/>
  <c r="BS24" i="42"/>
  <c r="BR24" i="42"/>
  <c r="BQ24" i="42"/>
  <c r="BP24" i="42"/>
  <c r="BO24" i="42"/>
  <c r="BN24" i="42"/>
  <c r="BM24" i="42"/>
  <c r="BL24" i="42"/>
  <c r="BK24" i="42"/>
  <c r="BJ24" i="42"/>
  <c r="BI24" i="42"/>
  <c r="BH24" i="42"/>
  <c r="BG24" i="42"/>
  <c r="BF24" i="42"/>
  <c r="BB24" i="42"/>
  <c r="BA24" i="42"/>
  <c r="AZ24" i="42"/>
  <c r="AY24" i="42"/>
  <c r="AX24" i="42"/>
  <c r="AW24" i="42"/>
  <c r="AV24" i="42"/>
  <c r="AU24" i="42"/>
  <c r="AT24" i="42"/>
  <c r="AS24" i="42"/>
  <c r="AR24" i="42"/>
  <c r="AQ24" i="42"/>
  <c r="AP24" i="42"/>
  <c r="AO24" i="42"/>
  <c r="AN24" i="42"/>
  <c r="BT23" i="42"/>
  <c r="BS23" i="42"/>
  <c r="BR23" i="42"/>
  <c r="BQ23" i="42"/>
  <c r="BP23" i="42"/>
  <c r="BO23" i="42"/>
  <c r="BN23" i="42"/>
  <c r="BM23" i="42"/>
  <c r="BL23" i="42"/>
  <c r="BK23" i="42"/>
  <c r="BJ23" i="42"/>
  <c r="BI23" i="42"/>
  <c r="BH23" i="42"/>
  <c r="BG23" i="42"/>
  <c r="BF23" i="42"/>
  <c r="BB23" i="42"/>
  <c r="BA23" i="42"/>
  <c r="AZ23" i="42"/>
  <c r="AY23" i="42"/>
  <c r="AX23" i="42"/>
  <c r="AW23" i="42"/>
  <c r="AV23" i="42"/>
  <c r="AU23" i="42"/>
  <c r="AT23" i="42"/>
  <c r="AS23" i="42"/>
  <c r="AR23" i="42"/>
  <c r="AQ23" i="42"/>
  <c r="AP23" i="42"/>
  <c r="AO23" i="42"/>
  <c r="AN23" i="42"/>
  <c r="BT22" i="42"/>
  <c r="BS22" i="42"/>
  <c r="BR22" i="42"/>
  <c r="BQ22" i="42"/>
  <c r="BP22" i="42"/>
  <c r="BO22" i="42"/>
  <c r="BN22" i="42"/>
  <c r="BM22" i="42"/>
  <c r="BL22" i="42"/>
  <c r="BK22" i="42"/>
  <c r="BJ22" i="42"/>
  <c r="BI22" i="42"/>
  <c r="BH22" i="42"/>
  <c r="BG22" i="42"/>
  <c r="BF22" i="42"/>
  <c r="BB22" i="42"/>
  <c r="BA22" i="42"/>
  <c r="AZ22" i="42"/>
  <c r="AY22" i="42"/>
  <c r="AX22" i="42"/>
  <c r="AW22" i="42"/>
  <c r="AV22" i="42"/>
  <c r="AU22" i="42"/>
  <c r="AT22" i="42"/>
  <c r="AS22" i="42"/>
  <c r="AR22" i="42"/>
  <c r="AQ22" i="42"/>
  <c r="AP22" i="42"/>
  <c r="AO22" i="42"/>
  <c r="AN22" i="42"/>
  <c r="BT21" i="42"/>
  <c r="BS21" i="42"/>
  <c r="BR21" i="42"/>
  <c r="BQ21" i="42"/>
  <c r="BP21" i="42"/>
  <c r="BO21" i="42"/>
  <c r="BN21" i="42"/>
  <c r="BM21" i="42"/>
  <c r="BL21" i="42"/>
  <c r="BK21" i="42"/>
  <c r="BJ21" i="42"/>
  <c r="BI21" i="42"/>
  <c r="BH21" i="42"/>
  <c r="BG21" i="42"/>
  <c r="BF21" i="42"/>
  <c r="BB21" i="42"/>
  <c r="BA21" i="42"/>
  <c r="AZ21" i="42"/>
  <c r="AY21" i="42"/>
  <c r="AX21" i="42"/>
  <c r="AW21" i="42"/>
  <c r="AV21" i="42"/>
  <c r="AU21" i="42"/>
  <c r="AT21" i="42"/>
  <c r="AS21" i="42"/>
  <c r="AR21" i="42"/>
  <c r="AQ21" i="42"/>
  <c r="AP21" i="42"/>
  <c r="AO21" i="42"/>
  <c r="AN21" i="42"/>
  <c r="BT15" i="42"/>
  <c r="BS15" i="42"/>
  <c r="BR15" i="42"/>
  <c r="BQ15" i="42"/>
  <c r="BP15" i="42"/>
  <c r="BO15" i="42"/>
  <c r="BN15" i="42"/>
  <c r="BM15" i="42"/>
  <c r="BL15" i="42"/>
  <c r="BK15" i="42"/>
  <c r="BJ15" i="42"/>
  <c r="BI15" i="42"/>
  <c r="BH15" i="42"/>
  <c r="BG15" i="42"/>
  <c r="BF15" i="42"/>
  <c r="BB15" i="42"/>
  <c r="BA15" i="42"/>
  <c r="AZ15" i="42"/>
  <c r="AY15" i="42"/>
  <c r="AX15" i="42"/>
  <c r="AW15" i="42"/>
  <c r="AV15" i="42"/>
  <c r="AU15" i="42"/>
  <c r="AT15" i="42"/>
  <c r="AS15" i="42"/>
  <c r="AR15" i="42"/>
  <c r="AQ15" i="42"/>
  <c r="AP15" i="42"/>
  <c r="AO15" i="42"/>
  <c r="AN15" i="42"/>
  <c r="BT14" i="42"/>
  <c r="BS14" i="42"/>
  <c r="BR14" i="42"/>
  <c r="BQ14" i="42"/>
  <c r="BP14" i="42"/>
  <c r="BO14" i="42"/>
  <c r="BN14" i="42"/>
  <c r="BM14" i="42"/>
  <c r="BL14" i="42"/>
  <c r="BK14" i="42"/>
  <c r="BJ14" i="42"/>
  <c r="BI14" i="42"/>
  <c r="BH14" i="42"/>
  <c r="BG14" i="42"/>
  <c r="BF14" i="42"/>
  <c r="BB14" i="42"/>
  <c r="BA14" i="42"/>
  <c r="AZ14" i="42"/>
  <c r="AY14" i="42"/>
  <c r="AX14" i="42"/>
  <c r="AW14" i="42"/>
  <c r="AV14" i="42"/>
  <c r="AU14" i="42"/>
  <c r="AT14" i="42"/>
  <c r="AS14" i="42"/>
  <c r="AR14" i="42"/>
  <c r="AQ14" i="42"/>
  <c r="AP14" i="42"/>
  <c r="AO14" i="42"/>
  <c r="AN14" i="42"/>
  <c r="BT13" i="42"/>
  <c r="BS13" i="42"/>
  <c r="BR13" i="42"/>
  <c r="BQ13" i="42"/>
  <c r="BP13" i="42"/>
  <c r="BO13" i="42"/>
  <c r="BN13" i="42"/>
  <c r="BM13" i="42"/>
  <c r="BL13" i="42"/>
  <c r="BK13" i="42"/>
  <c r="BJ13" i="42"/>
  <c r="BI13" i="42"/>
  <c r="BH13" i="42"/>
  <c r="BG13" i="42"/>
  <c r="BF13" i="42"/>
  <c r="BB13" i="42"/>
  <c r="BA13" i="42"/>
  <c r="AZ13" i="42"/>
  <c r="AY13" i="42"/>
  <c r="AX13" i="42"/>
  <c r="AW13" i="42"/>
  <c r="AV13" i="42"/>
  <c r="AU13" i="42"/>
  <c r="AT13" i="42"/>
  <c r="AS13" i="42"/>
  <c r="AR13" i="42"/>
  <c r="AQ13" i="42"/>
  <c r="AP13" i="42"/>
  <c r="AO13" i="42"/>
  <c r="AN13" i="42"/>
  <c r="BT12" i="42"/>
  <c r="BS12" i="42"/>
  <c r="BR12" i="42"/>
  <c r="BQ12" i="42"/>
  <c r="BP12" i="42"/>
  <c r="BO12" i="42"/>
  <c r="BN12" i="42"/>
  <c r="BM12" i="42"/>
  <c r="BL12" i="42"/>
  <c r="BK12" i="42"/>
  <c r="BJ12" i="42"/>
  <c r="BI12" i="42"/>
  <c r="BH12" i="42"/>
  <c r="BG12" i="42"/>
  <c r="BF12" i="42"/>
  <c r="BB12" i="42"/>
  <c r="BA12" i="42"/>
  <c r="AZ12" i="42"/>
  <c r="AY12" i="42"/>
  <c r="AX12" i="42"/>
  <c r="AW12" i="42"/>
  <c r="AV12" i="42"/>
  <c r="AU12" i="42"/>
  <c r="AT12" i="42"/>
  <c r="AS12" i="42"/>
  <c r="AR12" i="42"/>
  <c r="AQ12" i="42"/>
  <c r="AP12" i="42"/>
  <c r="AO12" i="42"/>
  <c r="AN12" i="42"/>
  <c r="BT11" i="42"/>
  <c r="BS11" i="42"/>
  <c r="BR11" i="42"/>
  <c r="BQ11" i="42"/>
  <c r="BP11" i="42"/>
  <c r="BO11" i="42"/>
  <c r="BN11" i="42"/>
  <c r="BM11" i="42"/>
  <c r="BL11" i="42"/>
  <c r="BK11" i="42"/>
  <c r="BJ11" i="42"/>
  <c r="BI11" i="42"/>
  <c r="BH11" i="42"/>
  <c r="BG11" i="42"/>
  <c r="BF11" i="42"/>
  <c r="BB11" i="42"/>
  <c r="BA11" i="42"/>
  <c r="AZ11" i="42"/>
  <c r="AY11" i="42"/>
  <c r="AX11" i="42"/>
  <c r="AW11" i="42"/>
  <c r="AV11" i="42"/>
  <c r="AU11" i="42"/>
  <c r="AT11" i="42"/>
  <c r="AS11" i="42"/>
  <c r="AR11" i="42"/>
  <c r="AQ11" i="42"/>
  <c r="AP11" i="42"/>
  <c r="AO11" i="42"/>
  <c r="AN11" i="42"/>
  <c r="BT10" i="42"/>
  <c r="BS10" i="42"/>
  <c r="BR10" i="42"/>
  <c r="BQ10" i="42"/>
  <c r="BP10" i="42"/>
  <c r="BO10" i="42"/>
  <c r="BN10" i="42"/>
  <c r="BM10" i="42"/>
  <c r="BL10" i="42"/>
  <c r="BK10" i="42"/>
  <c r="BJ10" i="42"/>
  <c r="BI10" i="42"/>
  <c r="BH10" i="42"/>
  <c r="BG10" i="42"/>
  <c r="BF10" i="42"/>
  <c r="BB10" i="42"/>
  <c r="BA10" i="42"/>
  <c r="AZ10" i="42"/>
  <c r="AY10" i="42"/>
  <c r="AX10" i="42"/>
  <c r="AW10" i="42"/>
  <c r="AV10" i="42"/>
  <c r="AU10" i="42"/>
  <c r="AT10" i="42"/>
  <c r="AS10" i="42"/>
  <c r="AR10" i="42"/>
  <c r="AQ10" i="42"/>
  <c r="AP10" i="42"/>
  <c r="AO10" i="42"/>
  <c r="AN10" i="42"/>
  <c r="BT9" i="42"/>
  <c r="BS9" i="42"/>
  <c r="BR9" i="42"/>
  <c r="BQ9" i="42"/>
  <c r="BP9" i="42"/>
  <c r="BO9" i="42"/>
  <c r="BN9" i="42"/>
  <c r="BM9" i="42"/>
  <c r="BL9" i="42"/>
  <c r="BK9" i="42"/>
  <c r="BJ9" i="42"/>
  <c r="BI9" i="42"/>
  <c r="BH9" i="42"/>
  <c r="BG9" i="42"/>
  <c r="BF9" i="42"/>
  <c r="BB9" i="42"/>
  <c r="BA9" i="42"/>
  <c r="AZ9" i="42"/>
  <c r="AY9" i="42"/>
  <c r="AX9" i="42"/>
  <c r="AW9" i="42"/>
  <c r="AV9" i="42"/>
  <c r="AU9" i="42"/>
  <c r="AT9" i="42"/>
  <c r="AS9" i="42"/>
  <c r="AR9" i="42"/>
  <c r="AQ9" i="42"/>
  <c r="AP9" i="42"/>
  <c r="AO9" i="42"/>
  <c r="AN9" i="42"/>
  <c r="BT8" i="42"/>
  <c r="BS8" i="42"/>
  <c r="BR8" i="42"/>
  <c r="BQ8" i="42"/>
  <c r="BP8" i="42"/>
  <c r="BO8" i="42"/>
  <c r="BN8" i="42"/>
  <c r="BM8" i="42"/>
  <c r="BL8" i="42"/>
  <c r="BK8" i="42"/>
  <c r="BJ8" i="42"/>
  <c r="BI8" i="42"/>
  <c r="BH8" i="42"/>
  <c r="BG8" i="42"/>
  <c r="BF8" i="42"/>
  <c r="BB8" i="42"/>
  <c r="BA8" i="42"/>
  <c r="AZ8" i="42"/>
  <c r="AY8" i="42"/>
  <c r="AX8" i="42"/>
  <c r="AW8" i="42"/>
  <c r="AV8" i="42"/>
  <c r="AU8" i="42"/>
  <c r="AT8" i="42"/>
  <c r="AS8" i="42"/>
  <c r="AR8" i="42"/>
  <c r="AQ8" i="42"/>
  <c r="AP8" i="42"/>
  <c r="AO8" i="42"/>
  <c r="AN8" i="42"/>
  <c r="BT7" i="42"/>
  <c r="BS7" i="42"/>
  <c r="BR7" i="42"/>
  <c r="BQ7" i="42"/>
  <c r="BP7" i="42"/>
  <c r="BO7" i="42"/>
  <c r="BN7" i="42"/>
  <c r="BM7" i="42"/>
  <c r="BL7" i="42"/>
  <c r="BK7" i="42"/>
  <c r="BJ7" i="42"/>
  <c r="BI7" i="42"/>
  <c r="BH7" i="42"/>
  <c r="BG7" i="42"/>
  <c r="BF7" i="42"/>
  <c r="BB7" i="42"/>
  <c r="BA7" i="42"/>
  <c r="AZ7" i="42"/>
  <c r="AY7" i="42"/>
  <c r="AX7" i="42"/>
  <c r="AW7" i="42"/>
  <c r="AV7" i="42"/>
  <c r="AU7" i="42"/>
  <c r="AT7" i="42"/>
  <c r="AS7" i="42"/>
  <c r="AR7" i="42"/>
  <c r="AQ7" i="42"/>
  <c r="AP7" i="42"/>
  <c r="AO7" i="42"/>
  <c r="AN7" i="42"/>
  <c r="BT6" i="42"/>
  <c r="BS6" i="42"/>
  <c r="BR6" i="42"/>
  <c r="BQ6" i="42"/>
  <c r="BP6" i="42"/>
  <c r="BO6" i="42"/>
  <c r="BN6" i="42"/>
  <c r="BM6" i="42"/>
  <c r="BL6" i="42"/>
  <c r="BK6" i="42"/>
  <c r="BJ6" i="42"/>
  <c r="BI6" i="42"/>
  <c r="BH6" i="42"/>
  <c r="BG6" i="42"/>
  <c r="BF6" i="42"/>
  <c r="BB6" i="42"/>
  <c r="BA6" i="42"/>
  <c r="AZ6" i="42"/>
  <c r="AY6" i="42"/>
  <c r="AX6" i="42"/>
  <c r="AW6" i="42"/>
  <c r="AV6" i="42"/>
  <c r="AU6" i="42"/>
  <c r="AT6" i="42"/>
  <c r="AS6" i="42"/>
  <c r="AR6" i="42"/>
  <c r="AQ6" i="42"/>
  <c r="AP6" i="42"/>
  <c r="AO6" i="42"/>
  <c r="AN6" i="42"/>
  <c r="BT5" i="42"/>
  <c r="BS5" i="42"/>
  <c r="BR5" i="42"/>
  <c r="BQ5" i="42"/>
  <c r="BP5" i="42"/>
  <c r="BO5" i="42"/>
  <c r="BN5" i="42"/>
  <c r="BM5" i="42"/>
  <c r="BL5" i="42"/>
  <c r="BK5" i="42"/>
  <c r="BJ5" i="42"/>
  <c r="BI5" i="42"/>
  <c r="BH5" i="42"/>
  <c r="BG5" i="42"/>
  <c r="BF5" i="42"/>
  <c r="BB5" i="42"/>
  <c r="BA5" i="42"/>
  <c r="AZ5" i="42"/>
  <c r="AY5" i="42"/>
  <c r="AX5" i="42"/>
  <c r="AW5" i="42"/>
  <c r="AV5" i="42"/>
  <c r="AU5" i="42"/>
  <c r="AT5" i="42"/>
  <c r="AS5" i="42"/>
  <c r="AR5" i="42"/>
  <c r="AQ5" i="42"/>
  <c r="AP5" i="42"/>
  <c r="AO5" i="42"/>
  <c r="AN5" i="42"/>
  <c r="BT4" i="42"/>
  <c r="BS4" i="42"/>
  <c r="BR4" i="42"/>
  <c r="BQ4" i="42"/>
  <c r="BP4" i="42"/>
  <c r="BO4" i="42"/>
  <c r="BN4" i="42"/>
  <c r="BM4" i="42"/>
  <c r="BL4" i="42"/>
  <c r="BK4" i="42"/>
  <c r="BJ4" i="42"/>
  <c r="BI4" i="42"/>
  <c r="BH4" i="42"/>
  <c r="BG4" i="42"/>
  <c r="BF4" i="42"/>
  <c r="BB4" i="42"/>
  <c r="BA4" i="42"/>
  <c r="AZ4" i="42"/>
  <c r="AY4" i="42"/>
  <c r="AX4" i="42"/>
  <c r="AW4" i="42"/>
  <c r="AV4" i="42"/>
  <c r="AU4" i="42"/>
  <c r="AT4" i="42"/>
  <c r="AS4" i="42"/>
  <c r="AR4" i="42"/>
  <c r="AQ4" i="42"/>
  <c r="AP4" i="42"/>
  <c r="AO4" i="42"/>
  <c r="AN4" i="42"/>
  <c r="BT32" i="41"/>
  <c r="BS32" i="41"/>
  <c r="BR32" i="41"/>
  <c r="BQ32" i="41"/>
  <c r="BP32" i="41"/>
  <c r="BO32" i="41"/>
  <c r="BN32" i="41"/>
  <c r="BM32" i="41"/>
  <c r="BL32" i="41"/>
  <c r="BK32" i="41"/>
  <c r="BJ32" i="41"/>
  <c r="BI32" i="41"/>
  <c r="BH32" i="41"/>
  <c r="BG32" i="41"/>
  <c r="BF32" i="41"/>
  <c r="BB32" i="41"/>
  <c r="BA32" i="41"/>
  <c r="AZ32" i="41"/>
  <c r="AY32" i="41"/>
  <c r="AX32" i="41"/>
  <c r="AW32" i="41"/>
  <c r="AV32" i="41"/>
  <c r="AU32" i="41"/>
  <c r="AT32" i="41"/>
  <c r="AS32" i="41"/>
  <c r="AR32" i="41"/>
  <c r="AQ32" i="41"/>
  <c r="AP32" i="41"/>
  <c r="AO32" i="41"/>
  <c r="AN32" i="41"/>
  <c r="BT31" i="41"/>
  <c r="BS31" i="41"/>
  <c r="BR31" i="41"/>
  <c r="BQ31" i="41"/>
  <c r="BP31" i="41"/>
  <c r="BO31" i="41"/>
  <c r="BN31" i="41"/>
  <c r="BM31" i="41"/>
  <c r="BL31" i="41"/>
  <c r="BK31" i="41"/>
  <c r="BJ31" i="41"/>
  <c r="BI31" i="41"/>
  <c r="BH31" i="41"/>
  <c r="BG31" i="41"/>
  <c r="BF31" i="41"/>
  <c r="BB31" i="41"/>
  <c r="BA31" i="41"/>
  <c r="AZ31" i="41"/>
  <c r="AY31" i="41"/>
  <c r="AX31" i="41"/>
  <c r="AW31" i="41"/>
  <c r="AV31" i="41"/>
  <c r="AU31" i="41"/>
  <c r="AT31" i="41"/>
  <c r="AS31" i="41"/>
  <c r="AR31" i="41"/>
  <c r="AQ31" i="41"/>
  <c r="AP31" i="41"/>
  <c r="AO31" i="41"/>
  <c r="AN31" i="41"/>
  <c r="BT30" i="41"/>
  <c r="BS30" i="41"/>
  <c r="BR30" i="41"/>
  <c r="BQ30" i="41"/>
  <c r="BP30" i="41"/>
  <c r="BO30" i="41"/>
  <c r="BN30" i="41"/>
  <c r="BM30" i="41"/>
  <c r="BL30" i="41"/>
  <c r="BK30" i="41"/>
  <c r="BJ30" i="41"/>
  <c r="BI30" i="41"/>
  <c r="BH30" i="41"/>
  <c r="BG30" i="41"/>
  <c r="BF30" i="41"/>
  <c r="BB30" i="41"/>
  <c r="BA30" i="41"/>
  <c r="AZ30" i="41"/>
  <c r="AY30" i="41"/>
  <c r="AX30" i="41"/>
  <c r="AW30" i="41"/>
  <c r="AV30" i="41"/>
  <c r="AU30" i="41"/>
  <c r="AT30" i="41"/>
  <c r="AS30" i="41"/>
  <c r="AR30" i="41"/>
  <c r="AQ30" i="41"/>
  <c r="AP30" i="41"/>
  <c r="AO30" i="41"/>
  <c r="AN30" i="41"/>
  <c r="BT29" i="41"/>
  <c r="BS29" i="41"/>
  <c r="BR29" i="41"/>
  <c r="BQ29" i="41"/>
  <c r="BP29" i="41"/>
  <c r="BO29" i="41"/>
  <c r="BN29" i="41"/>
  <c r="BM29" i="41"/>
  <c r="BL29" i="41"/>
  <c r="BK29" i="41"/>
  <c r="BJ29" i="41"/>
  <c r="BI29" i="41"/>
  <c r="BH29" i="41"/>
  <c r="BG29" i="41"/>
  <c r="BF29" i="41"/>
  <c r="BB29" i="41"/>
  <c r="BA29" i="41"/>
  <c r="AZ29" i="41"/>
  <c r="AY29" i="41"/>
  <c r="AX29" i="41"/>
  <c r="AW29" i="41"/>
  <c r="AV29" i="41"/>
  <c r="AU29" i="41"/>
  <c r="AT29" i="41"/>
  <c r="AS29" i="41"/>
  <c r="AR29" i="41"/>
  <c r="AQ29" i="41"/>
  <c r="AP29" i="41"/>
  <c r="AO29" i="41"/>
  <c r="AN29" i="41"/>
  <c r="BT28" i="41"/>
  <c r="BS28" i="41"/>
  <c r="BR28" i="41"/>
  <c r="BQ28" i="41"/>
  <c r="BP28" i="41"/>
  <c r="BO28" i="41"/>
  <c r="BN28" i="41"/>
  <c r="BM28" i="41"/>
  <c r="BL28" i="41"/>
  <c r="BK28" i="41"/>
  <c r="BJ28" i="41"/>
  <c r="BI28" i="41"/>
  <c r="BH28" i="41"/>
  <c r="BG28" i="41"/>
  <c r="BF28" i="41"/>
  <c r="BB28" i="41"/>
  <c r="BA28" i="41"/>
  <c r="AZ28" i="41"/>
  <c r="AY28" i="41"/>
  <c r="AX28" i="41"/>
  <c r="AW28" i="41"/>
  <c r="AV28" i="41"/>
  <c r="AU28" i="41"/>
  <c r="AT28" i="41"/>
  <c r="AS28" i="41"/>
  <c r="AR28" i="41"/>
  <c r="AQ28" i="41"/>
  <c r="AP28" i="41"/>
  <c r="AO28" i="41"/>
  <c r="AN28" i="41"/>
  <c r="BT27" i="41"/>
  <c r="BS27" i="41"/>
  <c r="BR27" i="41"/>
  <c r="BQ27" i="41"/>
  <c r="BP27" i="41"/>
  <c r="BO27" i="41"/>
  <c r="BN27" i="41"/>
  <c r="BM27" i="41"/>
  <c r="BL27" i="41"/>
  <c r="BK27" i="41"/>
  <c r="BJ27" i="41"/>
  <c r="BI27" i="41"/>
  <c r="BH27" i="41"/>
  <c r="BG27" i="41"/>
  <c r="BF27" i="41"/>
  <c r="BB27" i="41"/>
  <c r="BA27" i="41"/>
  <c r="AZ27" i="41"/>
  <c r="AY27" i="41"/>
  <c r="AX27" i="41"/>
  <c r="AW27" i="41"/>
  <c r="AV27" i="41"/>
  <c r="AU27" i="41"/>
  <c r="AT27" i="41"/>
  <c r="AS27" i="41"/>
  <c r="AR27" i="41"/>
  <c r="AQ27" i="41"/>
  <c r="AP27" i="41"/>
  <c r="AO27" i="41"/>
  <c r="AN27" i="41"/>
  <c r="BT26" i="41"/>
  <c r="BS26" i="41"/>
  <c r="BR26" i="41"/>
  <c r="BQ26" i="41"/>
  <c r="BP26" i="41"/>
  <c r="BO26" i="41"/>
  <c r="BN26" i="41"/>
  <c r="BM26" i="41"/>
  <c r="BL26" i="41"/>
  <c r="BK26" i="41"/>
  <c r="BJ26" i="41"/>
  <c r="BI26" i="41"/>
  <c r="BH26" i="41"/>
  <c r="BG26" i="41"/>
  <c r="BF26" i="41"/>
  <c r="BB26" i="41"/>
  <c r="BA26" i="41"/>
  <c r="AZ26" i="41"/>
  <c r="AY26" i="41"/>
  <c r="AX26" i="41"/>
  <c r="AW26" i="41"/>
  <c r="AV26" i="41"/>
  <c r="AU26" i="41"/>
  <c r="AT26" i="41"/>
  <c r="AS26" i="41"/>
  <c r="AR26" i="41"/>
  <c r="AQ26" i="41"/>
  <c r="AP26" i="41"/>
  <c r="AO26" i="41"/>
  <c r="AN26" i="41"/>
  <c r="BT25" i="41"/>
  <c r="BS25" i="41"/>
  <c r="BR25" i="41"/>
  <c r="BQ25" i="41"/>
  <c r="BP25" i="41"/>
  <c r="BO25" i="41"/>
  <c r="BN25" i="41"/>
  <c r="BM25" i="41"/>
  <c r="BL25" i="41"/>
  <c r="BK25" i="41"/>
  <c r="BJ25" i="41"/>
  <c r="BI25" i="41"/>
  <c r="BH25" i="41"/>
  <c r="BG25" i="41"/>
  <c r="BF25" i="41"/>
  <c r="BB25" i="41"/>
  <c r="BA25" i="41"/>
  <c r="AZ25" i="41"/>
  <c r="AY25" i="41"/>
  <c r="AX25" i="41"/>
  <c r="AW25" i="41"/>
  <c r="AV25" i="41"/>
  <c r="AU25" i="41"/>
  <c r="AT25" i="41"/>
  <c r="AS25" i="41"/>
  <c r="AR25" i="41"/>
  <c r="AQ25" i="41"/>
  <c r="AP25" i="41"/>
  <c r="AO25" i="41"/>
  <c r="AN25" i="41"/>
  <c r="BT24" i="41"/>
  <c r="BS24" i="41"/>
  <c r="BR24" i="41"/>
  <c r="BQ24" i="41"/>
  <c r="BP24" i="41"/>
  <c r="BO24" i="41"/>
  <c r="BN24" i="41"/>
  <c r="BM24" i="41"/>
  <c r="BL24" i="41"/>
  <c r="BK24" i="41"/>
  <c r="BJ24" i="41"/>
  <c r="BI24" i="41"/>
  <c r="BH24" i="41"/>
  <c r="BG24" i="41"/>
  <c r="BF24" i="41"/>
  <c r="BB24" i="41"/>
  <c r="BA24" i="41"/>
  <c r="AZ24" i="41"/>
  <c r="AY24" i="41"/>
  <c r="AX24" i="41"/>
  <c r="AW24" i="41"/>
  <c r="AV24" i="41"/>
  <c r="AU24" i="41"/>
  <c r="AT24" i="41"/>
  <c r="AS24" i="41"/>
  <c r="AR24" i="41"/>
  <c r="AQ24" i="41"/>
  <c r="AP24" i="41"/>
  <c r="AO24" i="41"/>
  <c r="AN24" i="41"/>
  <c r="BT23" i="41"/>
  <c r="BS23" i="41"/>
  <c r="BR23" i="41"/>
  <c r="BQ23" i="41"/>
  <c r="BP23" i="41"/>
  <c r="BO23" i="41"/>
  <c r="BN23" i="41"/>
  <c r="BM23" i="41"/>
  <c r="BL23" i="41"/>
  <c r="BK23" i="41"/>
  <c r="BJ23" i="41"/>
  <c r="BI23" i="41"/>
  <c r="BH23" i="41"/>
  <c r="BG23" i="41"/>
  <c r="BF23" i="41"/>
  <c r="BB23" i="41"/>
  <c r="BA23" i="41"/>
  <c r="AZ23" i="41"/>
  <c r="AY23" i="41"/>
  <c r="AX23" i="41"/>
  <c r="AW23" i="41"/>
  <c r="AV23" i="41"/>
  <c r="AU23" i="41"/>
  <c r="AT23" i="41"/>
  <c r="AS23" i="41"/>
  <c r="AR23" i="41"/>
  <c r="AQ23" i="41"/>
  <c r="AP23" i="41"/>
  <c r="AO23" i="41"/>
  <c r="AN23" i="41"/>
  <c r="BT22" i="41"/>
  <c r="BS22" i="41"/>
  <c r="BR22" i="41"/>
  <c r="BQ22" i="41"/>
  <c r="BP22" i="41"/>
  <c r="BO22" i="41"/>
  <c r="BN22" i="41"/>
  <c r="BM22" i="41"/>
  <c r="BL22" i="41"/>
  <c r="BK22" i="41"/>
  <c r="BJ22" i="41"/>
  <c r="BI22" i="41"/>
  <c r="BH22" i="41"/>
  <c r="BG22" i="41"/>
  <c r="BF22" i="41"/>
  <c r="BB22" i="41"/>
  <c r="BA22" i="41"/>
  <c r="AZ22" i="41"/>
  <c r="AY22" i="41"/>
  <c r="AX22" i="41"/>
  <c r="AW22" i="41"/>
  <c r="AV22" i="41"/>
  <c r="AU22" i="41"/>
  <c r="AT22" i="41"/>
  <c r="AS22" i="41"/>
  <c r="AR22" i="41"/>
  <c r="AQ22" i="41"/>
  <c r="AP22" i="41"/>
  <c r="AO22" i="41"/>
  <c r="AN22" i="41"/>
  <c r="BT21" i="41"/>
  <c r="BS21" i="41"/>
  <c r="BR21" i="41"/>
  <c r="BQ21" i="41"/>
  <c r="BP21" i="41"/>
  <c r="BO21" i="41"/>
  <c r="BN21" i="41"/>
  <c r="BM21" i="41"/>
  <c r="BL21" i="41"/>
  <c r="BK21" i="41"/>
  <c r="BJ21" i="41"/>
  <c r="BI21" i="41"/>
  <c r="BH21" i="41"/>
  <c r="BG21" i="41"/>
  <c r="BF21" i="41"/>
  <c r="BB21" i="41"/>
  <c r="BA21" i="41"/>
  <c r="AZ21" i="41"/>
  <c r="AY21" i="41"/>
  <c r="AX21" i="41"/>
  <c r="AW21" i="41"/>
  <c r="AV21" i="41"/>
  <c r="AU21" i="41"/>
  <c r="AT21" i="41"/>
  <c r="AS21" i="41"/>
  <c r="AR21" i="41"/>
  <c r="AQ21" i="41"/>
  <c r="AP21" i="41"/>
  <c r="AO21" i="41"/>
  <c r="AN21" i="41"/>
  <c r="BT15" i="41"/>
  <c r="BS15" i="41"/>
  <c r="BR15" i="41"/>
  <c r="BQ15" i="41"/>
  <c r="BP15" i="41"/>
  <c r="BO15" i="41"/>
  <c r="BN15" i="41"/>
  <c r="BM15" i="41"/>
  <c r="BL15" i="41"/>
  <c r="BK15" i="41"/>
  <c r="BJ15" i="41"/>
  <c r="BI15" i="41"/>
  <c r="BH15" i="41"/>
  <c r="BG15" i="41"/>
  <c r="BF15" i="41"/>
  <c r="BB15" i="41"/>
  <c r="BA15" i="41"/>
  <c r="AZ15" i="41"/>
  <c r="AY15" i="41"/>
  <c r="AX15" i="41"/>
  <c r="AW15" i="41"/>
  <c r="AV15" i="41"/>
  <c r="AU15" i="41"/>
  <c r="AT15" i="41"/>
  <c r="AS15" i="41"/>
  <c r="AR15" i="41"/>
  <c r="AQ15" i="41"/>
  <c r="AP15" i="41"/>
  <c r="AO15" i="41"/>
  <c r="AN15" i="41"/>
  <c r="BT14" i="41"/>
  <c r="BS14" i="41"/>
  <c r="BR14" i="41"/>
  <c r="BQ14" i="41"/>
  <c r="BP14" i="41"/>
  <c r="BO14" i="41"/>
  <c r="BN14" i="41"/>
  <c r="BM14" i="41"/>
  <c r="BL14" i="41"/>
  <c r="BK14" i="41"/>
  <c r="BJ14" i="41"/>
  <c r="BI14" i="41"/>
  <c r="BH14" i="41"/>
  <c r="BG14" i="41"/>
  <c r="BF14" i="41"/>
  <c r="BB14" i="41"/>
  <c r="BA14" i="41"/>
  <c r="AZ14" i="41"/>
  <c r="AY14" i="41"/>
  <c r="AX14" i="41"/>
  <c r="AW14" i="41"/>
  <c r="AV14" i="41"/>
  <c r="AU14" i="41"/>
  <c r="AT14" i="41"/>
  <c r="AS14" i="41"/>
  <c r="AR14" i="41"/>
  <c r="AQ14" i="41"/>
  <c r="AP14" i="41"/>
  <c r="AO14" i="41"/>
  <c r="AN14" i="41"/>
  <c r="BT13" i="41"/>
  <c r="BS13" i="41"/>
  <c r="BR13" i="41"/>
  <c r="BQ13" i="41"/>
  <c r="BP13" i="41"/>
  <c r="BO13" i="41"/>
  <c r="BN13" i="41"/>
  <c r="BM13" i="41"/>
  <c r="BL13" i="41"/>
  <c r="BK13" i="41"/>
  <c r="BJ13" i="41"/>
  <c r="BI13" i="41"/>
  <c r="BH13" i="41"/>
  <c r="BG13" i="41"/>
  <c r="BF13" i="41"/>
  <c r="BB13" i="41"/>
  <c r="BA13" i="41"/>
  <c r="AZ13" i="41"/>
  <c r="AY13" i="41"/>
  <c r="AX13" i="41"/>
  <c r="AW13" i="41"/>
  <c r="AV13" i="41"/>
  <c r="AU13" i="41"/>
  <c r="AT13" i="41"/>
  <c r="AS13" i="41"/>
  <c r="AR13" i="41"/>
  <c r="AQ13" i="41"/>
  <c r="AP13" i="41"/>
  <c r="AO13" i="41"/>
  <c r="AN13" i="41"/>
  <c r="BT12" i="41"/>
  <c r="BS12" i="41"/>
  <c r="BR12" i="41"/>
  <c r="BQ12" i="41"/>
  <c r="BP12" i="41"/>
  <c r="BO12" i="41"/>
  <c r="BN12" i="41"/>
  <c r="BM12" i="41"/>
  <c r="BL12" i="41"/>
  <c r="BK12" i="41"/>
  <c r="BJ12" i="41"/>
  <c r="BI12" i="41"/>
  <c r="BH12" i="41"/>
  <c r="BG12" i="41"/>
  <c r="BF12" i="41"/>
  <c r="BB12" i="41"/>
  <c r="BA12" i="41"/>
  <c r="AZ12" i="41"/>
  <c r="AY12" i="41"/>
  <c r="AX12" i="41"/>
  <c r="AW12" i="41"/>
  <c r="AV12" i="41"/>
  <c r="AU12" i="41"/>
  <c r="AT12" i="41"/>
  <c r="AS12" i="41"/>
  <c r="AR12" i="41"/>
  <c r="AQ12" i="41"/>
  <c r="AP12" i="41"/>
  <c r="AO12" i="41"/>
  <c r="AN12" i="41"/>
  <c r="BT11" i="41"/>
  <c r="BS11" i="41"/>
  <c r="BR11" i="41"/>
  <c r="BQ11" i="41"/>
  <c r="BP11" i="41"/>
  <c r="BO11" i="41"/>
  <c r="BN11" i="41"/>
  <c r="BM11" i="41"/>
  <c r="BL11" i="41"/>
  <c r="BK11" i="41"/>
  <c r="BJ11" i="41"/>
  <c r="BI11" i="41"/>
  <c r="BH11" i="41"/>
  <c r="BG11" i="41"/>
  <c r="BF11" i="41"/>
  <c r="BB11" i="41"/>
  <c r="BA11" i="41"/>
  <c r="AZ11" i="41"/>
  <c r="AY11" i="41"/>
  <c r="AX11" i="41"/>
  <c r="AW11" i="41"/>
  <c r="AV11" i="41"/>
  <c r="AU11" i="41"/>
  <c r="AT11" i="41"/>
  <c r="AS11" i="41"/>
  <c r="AR11" i="41"/>
  <c r="AQ11" i="41"/>
  <c r="AP11" i="41"/>
  <c r="AO11" i="41"/>
  <c r="AN11" i="41"/>
  <c r="BT10" i="41"/>
  <c r="BS10" i="41"/>
  <c r="BR10" i="41"/>
  <c r="BQ10" i="41"/>
  <c r="BP10" i="41"/>
  <c r="BO10" i="41"/>
  <c r="BN10" i="41"/>
  <c r="BM10" i="41"/>
  <c r="BL10" i="41"/>
  <c r="BK10" i="41"/>
  <c r="BJ10" i="41"/>
  <c r="BI10" i="41"/>
  <c r="BH10" i="41"/>
  <c r="BG10" i="41"/>
  <c r="BF10" i="41"/>
  <c r="BB10" i="41"/>
  <c r="BA10" i="41"/>
  <c r="AZ10" i="41"/>
  <c r="AY10" i="41"/>
  <c r="AX10" i="41"/>
  <c r="AW10" i="41"/>
  <c r="AV10" i="41"/>
  <c r="AU10" i="41"/>
  <c r="AT10" i="41"/>
  <c r="AS10" i="41"/>
  <c r="AR10" i="41"/>
  <c r="AQ10" i="41"/>
  <c r="AP10" i="41"/>
  <c r="AO10" i="41"/>
  <c r="AN10" i="41"/>
  <c r="BT9" i="41"/>
  <c r="BS9" i="41"/>
  <c r="BR9" i="41"/>
  <c r="BQ9" i="41"/>
  <c r="BP9" i="41"/>
  <c r="BO9" i="41"/>
  <c r="BN9" i="41"/>
  <c r="BM9" i="41"/>
  <c r="BL9" i="41"/>
  <c r="BK9" i="41"/>
  <c r="BJ9" i="41"/>
  <c r="BI9" i="41"/>
  <c r="BH9" i="41"/>
  <c r="BG9" i="41"/>
  <c r="BF9" i="41"/>
  <c r="BB9" i="41"/>
  <c r="BA9" i="41"/>
  <c r="AZ9" i="41"/>
  <c r="AY9" i="41"/>
  <c r="AX9" i="41"/>
  <c r="AW9" i="41"/>
  <c r="AV9" i="41"/>
  <c r="AU9" i="41"/>
  <c r="AT9" i="41"/>
  <c r="AS9" i="41"/>
  <c r="AR9" i="41"/>
  <c r="AQ9" i="41"/>
  <c r="AP9" i="41"/>
  <c r="AO9" i="41"/>
  <c r="AN9" i="41"/>
  <c r="BT8" i="41"/>
  <c r="BS8" i="41"/>
  <c r="BR8" i="41"/>
  <c r="BQ8" i="41"/>
  <c r="BP8" i="41"/>
  <c r="BO8" i="41"/>
  <c r="BN8" i="41"/>
  <c r="BM8" i="41"/>
  <c r="BL8" i="41"/>
  <c r="BK8" i="41"/>
  <c r="BJ8" i="41"/>
  <c r="BI8" i="41"/>
  <c r="BH8" i="41"/>
  <c r="BG8" i="41"/>
  <c r="BF8" i="41"/>
  <c r="BB8" i="41"/>
  <c r="BA8" i="41"/>
  <c r="AZ8" i="41"/>
  <c r="AY8" i="41"/>
  <c r="AX8" i="41"/>
  <c r="AW8" i="41"/>
  <c r="AV8" i="41"/>
  <c r="AU8" i="41"/>
  <c r="AT8" i="41"/>
  <c r="AS8" i="41"/>
  <c r="AR8" i="41"/>
  <c r="AQ8" i="41"/>
  <c r="AP8" i="41"/>
  <c r="AO8" i="41"/>
  <c r="AN8" i="41"/>
  <c r="BT7" i="41"/>
  <c r="BS7" i="41"/>
  <c r="BR7" i="41"/>
  <c r="BQ7" i="41"/>
  <c r="BP7" i="41"/>
  <c r="BO7" i="41"/>
  <c r="BN7" i="41"/>
  <c r="BM7" i="41"/>
  <c r="BL7" i="41"/>
  <c r="BK7" i="41"/>
  <c r="BJ7" i="41"/>
  <c r="BI7" i="41"/>
  <c r="BH7" i="41"/>
  <c r="BG7" i="41"/>
  <c r="BF7" i="41"/>
  <c r="BB7" i="41"/>
  <c r="BA7" i="41"/>
  <c r="AZ7" i="41"/>
  <c r="AY7" i="41"/>
  <c r="AX7" i="41"/>
  <c r="AW7" i="41"/>
  <c r="AV7" i="41"/>
  <c r="AU7" i="41"/>
  <c r="AT7" i="41"/>
  <c r="AS7" i="41"/>
  <c r="AR7" i="41"/>
  <c r="AQ7" i="41"/>
  <c r="AP7" i="41"/>
  <c r="AO7" i="41"/>
  <c r="AN7" i="41"/>
  <c r="BT6" i="41"/>
  <c r="BS6" i="41"/>
  <c r="BR6" i="41"/>
  <c r="BQ6" i="41"/>
  <c r="BP6" i="41"/>
  <c r="BO6" i="41"/>
  <c r="BN6" i="41"/>
  <c r="BM6" i="41"/>
  <c r="BL6" i="41"/>
  <c r="BK6" i="41"/>
  <c r="BJ6" i="41"/>
  <c r="BI6" i="41"/>
  <c r="BH6" i="41"/>
  <c r="BG6" i="41"/>
  <c r="BF6" i="41"/>
  <c r="BB6" i="41"/>
  <c r="BA6" i="41"/>
  <c r="AZ6" i="41"/>
  <c r="AY6" i="41"/>
  <c r="AX6" i="41"/>
  <c r="AW6" i="41"/>
  <c r="AV6" i="41"/>
  <c r="AU6" i="41"/>
  <c r="AT6" i="41"/>
  <c r="AS6" i="41"/>
  <c r="AR6" i="41"/>
  <c r="AQ6" i="41"/>
  <c r="AP6" i="41"/>
  <c r="AO6" i="41"/>
  <c r="AN6" i="41"/>
  <c r="BT5" i="41"/>
  <c r="BS5" i="41"/>
  <c r="BR5" i="41"/>
  <c r="BQ5" i="41"/>
  <c r="BP5" i="41"/>
  <c r="BO5" i="41"/>
  <c r="BN5" i="41"/>
  <c r="BM5" i="41"/>
  <c r="BL5" i="41"/>
  <c r="BK5" i="41"/>
  <c r="BJ5" i="41"/>
  <c r="BI5" i="41"/>
  <c r="BH5" i="41"/>
  <c r="BG5" i="41"/>
  <c r="BF5" i="41"/>
  <c r="BB5" i="41"/>
  <c r="BA5" i="41"/>
  <c r="AZ5" i="41"/>
  <c r="AY5" i="41"/>
  <c r="AX5" i="41"/>
  <c r="AW5" i="41"/>
  <c r="AV5" i="41"/>
  <c r="AU5" i="41"/>
  <c r="AT5" i="41"/>
  <c r="AS5" i="41"/>
  <c r="AR5" i="41"/>
  <c r="AQ5" i="41"/>
  <c r="AP5" i="41"/>
  <c r="AO5" i="41"/>
  <c r="AN5" i="41"/>
  <c r="BT4" i="41"/>
  <c r="BS4" i="41"/>
  <c r="BR4" i="41"/>
  <c r="BQ4" i="41"/>
  <c r="BP4" i="41"/>
  <c r="BO4" i="41"/>
  <c r="BN4" i="41"/>
  <c r="BM4" i="41"/>
  <c r="BL4" i="41"/>
  <c r="BK4" i="41"/>
  <c r="BJ4" i="41"/>
  <c r="BI4" i="41"/>
  <c r="BH4" i="41"/>
  <c r="BG4" i="41"/>
  <c r="BF4" i="41"/>
  <c r="BB4" i="41"/>
  <c r="BA4" i="41"/>
  <c r="AZ4" i="41"/>
  <c r="AY4" i="41"/>
  <c r="AX4" i="41"/>
  <c r="AW4" i="41"/>
  <c r="AV4" i="41"/>
  <c r="AU4" i="41"/>
  <c r="AT4" i="41"/>
  <c r="AS4" i="41"/>
  <c r="AR4" i="41"/>
  <c r="AQ4" i="41"/>
  <c r="AP4" i="41"/>
  <c r="AO4" i="41"/>
  <c r="AN4" i="41"/>
  <c r="BT32" i="40"/>
  <c r="BS32" i="40"/>
  <c r="BR32" i="40"/>
  <c r="BQ32" i="40"/>
  <c r="BP32" i="40"/>
  <c r="BO32" i="40"/>
  <c r="BN32" i="40"/>
  <c r="BM32" i="40"/>
  <c r="BL32" i="40"/>
  <c r="BK32" i="40"/>
  <c r="BJ32" i="40"/>
  <c r="BI32" i="40"/>
  <c r="BH32" i="40"/>
  <c r="BG32" i="40"/>
  <c r="BF32" i="40"/>
  <c r="BB32" i="40"/>
  <c r="BA32" i="40"/>
  <c r="AZ32" i="40"/>
  <c r="AY32" i="40"/>
  <c r="AX32" i="40"/>
  <c r="AW32" i="40"/>
  <c r="AV32" i="40"/>
  <c r="AU32" i="40"/>
  <c r="AT32" i="40"/>
  <c r="AS32" i="40"/>
  <c r="AR32" i="40"/>
  <c r="AQ32" i="40"/>
  <c r="AP32" i="40"/>
  <c r="AO32" i="40"/>
  <c r="AN32" i="40"/>
  <c r="BT31" i="40"/>
  <c r="BS31" i="40"/>
  <c r="BR31" i="40"/>
  <c r="BQ31" i="40"/>
  <c r="BP31" i="40"/>
  <c r="BO31" i="40"/>
  <c r="BN31" i="40"/>
  <c r="BM31" i="40"/>
  <c r="BL31" i="40"/>
  <c r="BK31" i="40"/>
  <c r="BJ31" i="40"/>
  <c r="BI31" i="40"/>
  <c r="BH31" i="40"/>
  <c r="BG31" i="40"/>
  <c r="BF31" i="40"/>
  <c r="BB31" i="40"/>
  <c r="BA31" i="40"/>
  <c r="AZ31" i="40"/>
  <c r="AY31" i="40"/>
  <c r="AX31" i="40"/>
  <c r="AW31" i="40"/>
  <c r="AV31" i="40"/>
  <c r="AU31" i="40"/>
  <c r="AT31" i="40"/>
  <c r="AS31" i="40"/>
  <c r="AR31" i="40"/>
  <c r="AQ31" i="40"/>
  <c r="AP31" i="40"/>
  <c r="AO31" i="40"/>
  <c r="AN31" i="40"/>
  <c r="BT30" i="40"/>
  <c r="BS30" i="40"/>
  <c r="BR30" i="40"/>
  <c r="BQ30" i="40"/>
  <c r="BP30" i="40"/>
  <c r="BO30" i="40"/>
  <c r="BN30" i="40"/>
  <c r="BM30" i="40"/>
  <c r="BL30" i="40"/>
  <c r="BK30" i="40"/>
  <c r="BJ30" i="40"/>
  <c r="BI30" i="40"/>
  <c r="BH30" i="40"/>
  <c r="BG30" i="40"/>
  <c r="BF30" i="40"/>
  <c r="BB30" i="40"/>
  <c r="BA30" i="40"/>
  <c r="AZ30" i="40"/>
  <c r="AY30" i="40"/>
  <c r="AX30" i="40"/>
  <c r="AW30" i="40"/>
  <c r="AV30" i="40"/>
  <c r="AU30" i="40"/>
  <c r="AT30" i="40"/>
  <c r="AS30" i="40"/>
  <c r="AR30" i="40"/>
  <c r="AQ30" i="40"/>
  <c r="AP30" i="40"/>
  <c r="AO30" i="40"/>
  <c r="AN30" i="40"/>
  <c r="BT29" i="40"/>
  <c r="BS29" i="40"/>
  <c r="BR29" i="40"/>
  <c r="BQ29" i="40"/>
  <c r="BP29" i="40"/>
  <c r="BO29" i="40"/>
  <c r="BN29" i="40"/>
  <c r="BM29" i="40"/>
  <c r="BL29" i="40"/>
  <c r="BK29" i="40"/>
  <c r="BJ29" i="40"/>
  <c r="BI29" i="40"/>
  <c r="BH29" i="40"/>
  <c r="BG29" i="40"/>
  <c r="BF29" i="40"/>
  <c r="BB29" i="40"/>
  <c r="BA29" i="40"/>
  <c r="AZ29" i="40"/>
  <c r="AY29" i="40"/>
  <c r="AX29" i="40"/>
  <c r="AW29" i="40"/>
  <c r="AV29" i="40"/>
  <c r="AU29" i="40"/>
  <c r="AT29" i="40"/>
  <c r="AS29" i="40"/>
  <c r="AR29" i="40"/>
  <c r="AQ29" i="40"/>
  <c r="AP29" i="40"/>
  <c r="AO29" i="40"/>
  <c r="AN29" i="40"/>
  <c r="BT28" i="40"/>
  <c r="BS28" i="40"/>
  <c r="BR28" i="40"/>
  <c r="BQ28" i="40"/>
  <c r="BP28" i="40"/>
  <c r="BO28" i="40"/>
  <c r="BN28" i="40"/>
  <c r="BM28" i="40"/>
  <c r="BL28" i="40"/>
  <c r="BK28" i="40"/>
  <c r="BJ28" i="40"/>
  <c r="BI28" i="40"/>
  <c r="BH28" i="40"/>
  <c r="BG28" i="40"/>
  <c r="BF28" i="40"/>
  <c r="BB28" i="40"/>
  <c r="BA28" i="40"/>
  <c r="AZ28" i="40"/>
  <c r="AY28" i="40"/>
  <c r="AX28" i="40"/>
  <c r="AW28" i="40"/>
  <c r="AV28" i="40"/>
  <c r="AU28" i="40"/>
  <c r="AT28" i="40"/>
  <c r="AS28" i="40"/>
  <c r="AR28" i="40"/>
  <c r="AQ28" i="40"/>
  <c r="AP28" i="40"/>
  <c r="AO28" i="40"/>
  <c r="AN28" i="40"/>
  <c r="BT27" i="40"/>
  <c r="BS27" i="40"/>
  <c r="BR27" i="40"/>
  <c r="BQ27" i="40"/>
  <c r="BP27" i="40"/>
  <c r="BO27" i="40"/>
  <c r="BN27" i="40"/>
  <c r="BM27" i="40"/>
  <c r="BL27" i="40"/>
  <c r="BK27" i="40"/>
  <c r="BJ27" i="40"/>
  <c r="BI27" i="40"/>
  <c r="BH27" i="40"/>
  <c r="BG27" i="40"/>
  <c r="BF27" i="40"/>
  <c r="BB27" i="40"/>
  <c r="BA27" i="40"/>
  <c r="AZ27" i="40"/>
  <c r="AY27" i="40"/>
  <c r="AX27" i="40"/>
  <c r="AW27" i="40"/>
  <c r="AV27" i="40"/>
  <c r="AU27" i="40"/>
  <c r="AT27" i="40"/>
  <c r="AS27" i="40"/>
  <c r="AR27" i="40"/>
  <c r="AQ27" i="40"/>
  <c r="AP27" i="40"/>
  <c r="AO27" i="40"/>
  <c r="AN27" i="40"/>
  <c r="BT26" i="40"/>
  <c r="BS26" i="40"/>
  <c r="BR26" i="40"/>
  <c r="BQ26" i="40"/>
  <c r="BP26" i="40"/>
  <c r="BO26" i="40"/>
  <c r="BN26" i="40"/>
  <c r="BM26" i="40"/>
  <c r="BL26" i="40"/>
  <c r="BK26" i="40"/>
  <c r="BJ26" i="40"/>
  <c r="BI26" i="40"/>
  <c r="BH26" i="40"/>
  <c r="BG26" i="40"/>
  <c r="BF26" i="40"/>
  <c r="BB26" i="40"/>
  <c r="BA26" i="40"/>
  <c r="AZ26" i="40"/>
  <c r="AY26" i="40"/>
  <c r="AX26" i="40"/>
  <c r="AW26" i="40"/>
  <c r="AV26" i="40"/>
  <c r="AU26" i="40"/>
  <c r="AT26" i="40"/>
  <c r="AS26" i="40"/>
  <c r="AR26" i="40"/>
  <c r="AQ26" i="40"/>
  <c r="AP26" i="40"/>
  <c r="AO26" i="40"/>
  <c r="AN26" i="40"/>
  <c r="BT25" i="40"/>
  <c r="BS25" i="40"/>
  <c r="BR25" i="40"/>
  <c r="BQ25" i="40"/>
  <c r="BP25" i="40"/>
  <c r="BO25" i="40"/>
  <c r="BN25" i="40"/>
  <c r="BM25" i="40"/>
  <c r="BL25" i="40"/>
  <c r="BK25" i="40"/>
  <c r="BJ25" i="40"/>
  <c r="BI25" i="40"/>
  <c r="BH25" i="40"/>
  <c r="BG25" i="40"/>
  <c r="BF25" i="40"/>
  <c r="BB25" i="40"/>
  <c r="BA25" i="40"/>
  <c r="AZ25" i="40"/>
  <c r="AY25" i="40"/>
  <c r="AX25" i="40"/>
  <c r="AW25" i="40"/>
  <c r="AV25" i="40"/>
  <c r="AU25" i="40"/>
  <c r="AT25" i="40"/>
  <c r="AS25" i="40"/>
  <c r="AR25" i="40"/>
  <c r="AQ25" i="40"/>
  <c r="AP25" i="40"/>
  <c r="AO25" i="40"/>
  <c r="AN25" i="40"/>
  <c r="BT24" i="40"/>
  <c r="BS24" i="40"/>
  <c r="BR24" i="40"/>
  <c r="BQ24" i="40"/>
  <c r="BP24" i="40"/>
  <c r="BO24" i="40"/>
  <c r="BN24" i="40"/>
  <c r="BM24" i="40"/>
  <c r="BL24" i="40"/>
  <c r="BK24" i="40"/>
  <c r="BJ24" i="40"/>
  <c r="BI24" i="40"/>
  <c r="BH24" i="40"/>
  <c r="BG24" i="40"/>
  <c r="BF24" i="40"/>
  <c r="BB24" i="40"/>
  <c r="BA24" i="40"/>
  <c r="AZ24" i="40"/>
  <c r="AY24" i="40"/>
  <c r="AX24" i="40"/>
  <c r="AW24" i="40"/>
  <c r="AV24" i="40"/>
  <c r="AU24" i="40"/>
  <c r="AT24" i="40"/>
  <c r="AS24" i="40"/>
  <c r="AR24" i="40"/>
  <c r="AQ24" i="40"/>
  <c r="AP24" i="40"/>
  <c r="AO24" i="40"/>
  <c r="AN24" i="40"/>
  <c r="BT23" i="40"/>
  <c r="BS23" i="40"/>
  <c r="BR23" i="40"/>
  <c r="BQ23" i="40"/>
  <c r="BP23" i="40"/>
  <c r="BO23" i="40"/>
  <c r="BN23" i="40"/>
  <c r="BM23" i="40"/>
  <c r="BL23" i="40"/>
  <c r="BK23" i="40"/>
  <c r="BJ23" i="40"/>
  <c r="BI23" i="40"/>
  <c r="BH23" i="40"/>
  <c r="BG23" i="40"/>
  <c r="BF23" i="40"/>
  <c r="BB23" i="40"/>
  <c r="BA23" i="40"/>
  <c r="AZ23" i="40"/>
  <c r="AY23" i="40"/>
  <c r="AX23" i="40"/>
  <c r="AW23" i="40"/>
  <c r="AV23" i="40"/>
  <c r="AU23" i="40"/>
  <c r="AT23" i="40"/>
  <c r="AS23" i="40"/>
  <c r="AR23" i="40"/>
  <c r="AQ23" i="40"/>
  <c r="AP23" i="40"/>
  <c r="AO23" i="40"/>
  <c r="AN23" i="40"/>
  <c r="BT22" i="40"/>
  <c r="BS22" i="40"/>
  <c r="BR22" i="40"/>
  <c r="BQ22" i="40"/>
  <c r="BP22" i="40"/>
  <c r="BO22" i="40"/>
  <c r="BN22" i="40"/>
  <c r="BM22" i="40"/>
  <c r="BL22" i="40"/>
  <c r="BK22" i="40"/>
  <c r="BJ22" i="40"/>
  <c r="BI22" i="40"/>
  <c r="BH22" i="40"/>
  <c r="BG22" i="40"/>
  <c r="BF22" i="40"/>
  <c r="BB22" i="40"/>
  <c r="BA22" i="40"/>
  <c r="AZ22" i="40"/>
  <c r="AY22" i="40"/>
  <c r="AX22" i="40"/>
  <c r="AW22" i="40"/>
  <c r="AV22" i="40"/>
  <c r="AU22" i="40"/>
  <c r="AT22" i="40"/>
  <c r="AS22" i="40"/>
  <c r="AR22" i="40"/>
  <c r="AQ22" i="40"/>
  <c r="AP22" i="40"/>
  <c r="AO22" i="40"/>
  <c r="AN22" i="40"/>
  <c r="BT21" i="40"/>
  <c r="BS21" i="40"/>
  <c r="BR21" i="40"/>
  <c r="BQ21" i="40"/>
  <c r="BP21" i="40"/>
  <c r="BO21" i="40"/>
  <c r="BN21" i="40"/>
  <c r="BM21" i="40"/>
  <c r="BL21" i="40"/>
  <c r="BK21" i="40"/>
  <c r="BJ21" i="40"/>
  <c r="BI21" i="40"/>
  <c r="BH21" i="40"/>
  <c r="BG21" i="40"/>
  <c r="BF21" i="40"/>
  <c r="BB21" i="40"/>
  <c r="BA21" i="40"/>
  <c r="AZ21" i="40"/>
  <c r="AY21" i="40"/>
  <c r="AX21" i="40"/>
  <c r="AW21" i="40"/>
  <c r="AV21" i="40"/>
  <c r="AU21" i="40"/>
  <c r="AT21" i="40"/>
  <c r="AS21" i="40"/>
  <c r="AR21" i="40"/>
  <c r="AQ21" i="40"/>
  <c r="AP21" i="40"/>
  <c r="AO21" i="40"/>
  <c r="AN21" i="40"/>
  <c r="BT15" i="40"/>
  <c r="BS15" i="40"/>
  <c r="BR15" i="40"/>
  <c r="BQ15" i="40"/>
  <c r="BP15" i="40"/>
  <c r="BO15" i="40"/>
  <c r="BN15" i="40"/>
  <c r="BM15" i="40"/>
  <c r="BL15" i="40"/>
  <c r="BK15" i="40"/>
  <c r="BJ15" i="40"/>
  <c r="BI15" i="40"/>
  <c r="BH15" i="40"/>
  <c r="BG15" i="40"/>
  <c r="BF15" i="40"/>
  <c r="BB15" i="40"/>
  <c r="BA15" i="40"/>
  <c r="AZ15" i="40"/>
  <c r="AY15" i="40"/>
  <c r="AX15" i="40"/>
  <c r="AW15" i="40"/>
  <c r="AV15" i="40"/>
  <c r="AU15" i="40"/>
  <c r="AT15" i="40"/>
  <c r="AS15" i="40"/>
  <c r="AR15" i="40"/>
  <c r="AQ15" i="40"/>
  <c r="AP15" i="40"/>
  <c r="AO15" i="40"/>
  <c r="AN15" i="40"/>
  <c r="BT14" i="40"/>
  <c r="BS14" i="40"/>
  <c r="BR14" i="40"/>
  <c r="BQ14" i="40"/>
  <c r="BP14" i="40"/>
  <c r="BO14" i="40"/>
  <c r="BN14" i="40"/>
  <c r="BM14" i="40"/>
  <c r="BL14" i="40"/>
  <c r="BK14" i="40"/>
  <c r="BJ14" i="40"/>
  <c r="BI14" i="40"/>
  <c r="BH14" i="40"/>
  <c r="BG14" i="40"/>
  <c r="BF14" i="40"/>
  <c r="BB14" i="40"/>
  <c r="BA14" i="40"/>
  <c r="AZ14" i="40"/>
  <c r="AY14" i="40"/>
  <c r="AX14" i="40"/>
  <c r="AW14" i="40"/>
  <c r="AV14" i="40"/>
  <c r="AU14" i="40"/>
  <c r="AT14" i="40"/>
  <c r="AS14" i="40"/>
  <c r="AR14" i="40"/>
  <c r="AQ14" i="40"/>
  <c r="AP14" i="40"/>
  <c r="AO14" i="40"/>
  <c r="AN14" i="40"/>
  <c r="BT13" i="40"/>
  <c r="BS13" i="40"/>
  <c r="BR13" i="40"/>
  <c r="BQ13" i="40"/>
  <c r="BP13" i="40"/>
  <c r="BO13" i="40"/>
  <c r="BN13" i="40"/>
  <c r="BM13" i="40"/>
  <c r="BL13" i="40"/>
  <c r="BK13" i="40"/>
  <c r="BJ13" i="40"/>
  <c r="BI13" i="40"/>
  <c r="BH13" i="40"/>
  <c r="BG13" i="40"/>
  <c r="BF13" i="40"/>
  <c r="BB13" i="40"/>
  <c r="BA13" i="40"/>
  <c r="AZ13" i="40"/>
  <c r="AY13" i="40"/>
  <c r="AX13" i="40"/>
  <c r="AW13" i="40"/>
  <c r="AV13" i="40"/>
  <c r="AU13" i="40"/>
  <c r="AT13" i="40"/>
  <c r="AS13" i="40"/>
  <c r="AR13" i="40"/>
  <c r="AQ13" i="40"/>
  <c r="AP13" i="40"/>
  <c r="AO13" i="40"/>
  <c r="AN13" i="40"/>
  <c r="BT12" i="40"/>
  <c r="BS12" i="40"/>
  <c r="BR12" i="40"/>
  <c r="BQ12" i="40"/>
  <c r="BP12" i="40"/>
  <c r="BO12" i="40"/>
  <c r="BN12" i="40"/>
  <c r="BM12" i="40"/>
  <c r="BL12" i="40"/>
  <c r="BK12" i="40"/>
  <c r="BJ12" i="40"/>
  <c r="BI12" i="40"/>
  <c r="BH12" i="40"/>
  <c r="BG12" i="40"/>
  <c r="BF12" i="40"/>
  <c r="BB12" i="40"/>
  <c r="BA12" i="40"/>
  <c r="AZ12" i="40"/>
  <c r="AY12" i="40"/>
  <c r="AX12" i="40"/>
  <c r="AW12" i="40"/>
  <c r="AV12" i="40"/>
  <c r="AU12" i="40"/>
  <c r="AT12" i="40"/>
  <c r="AS12" i="40"/>
  <c r="AR12" i="40"/>
  <c r="AQ12" i="40"/>
  <c r="AP12" i="40"/>
  <c r="AO12" i="40"/>
  <c r="AN12" i="40"/>
  <c r="BT11" i="40"/>
  <c r="BS11" i="40"/>
  <c r="BR11" i="40"/>
  <c r="BQ11" i="40"/>
  <c r="BP11" i="40"/>
  <c r="BO11" i="40"/>
  <c r="BN11" i="40"/>
  <c r="BM11" i="40"/>
  <c r="BL11" i="40"/>
  <c r="BK11" i="40"/>
  <c r="BJ11" i="40"/>
  <c r="BI11" i="40"/>
  <c r="BH11" i="40"/>
  <c r="BG11" i="40"/>
  <c r="BF11" i="40"/>
  <c r="BB11" i="40"/>
  <c r="BA11" i="40"/>
  <c r="AZ11" i="40"/>
  <c r="AY11" i="40"/>
  <c r="AX11" i="40"/>
  <c r="AW11" i="40"/>
  <c r="AV11" i="40"/>
  <c r="AU11" i="40"/>
  <c r="AT11" i="40"/>
  <c r="AS11" i="40"/>
  <c r="AR11" i="40"/>
  <c r="AQ11" i="40"/>
  <c r="AP11" i="40"/>
  <c r="AO11" i="40"/>
  <c r="AN11" i="40"/>
  <c r="BT10" i="40"/>
  <c r="BS10" i="40"/>
  <c r="BR10" i="40"/>
  <c r="BQ10" i="40"/>
  <c r="BP10" i="40"/>
  <c r="BO10" i="40"/>
  <c r="BN10" i="40"/>
  <c r="BM10" i="40"/>
  <c r="BL10" i="40"/>
  <c r="BK10" i="40"/>
  <c r="BJ10" i="40"/>
  <c r="BI10" i="40"/>
  <c r="BH10" i="40"/>
  <c r="BG10" i="40"/>
  <c r="BF10" i="40"/>
  <c r="BB10" i="40"/>
  <c r="BA10" i="40"/>
  <c r="AZ10" i="40"/>
  <c r="AY10" i="40"/>
  <c r="AX10" i="40"/>
  <c r="AW10" i="40"/>
  <c r="AV10" i="40"/>
  <c r="AU10" i="40"/>
  <c r="AT10" i="40"/>
  <c r="AS10" i="40"/>
  <c r="AR10" i="40"/>
  <c r="AQ10" i="40"/>
  <c r="AP10" i="40"/>
  <c r="AO10" i="40"/>
  <c r="AN10" i="40"/>
  <c r="BT9" i="40"/>
  <c r="BS9" i="40"/>
  <c r="BR9" i="40"/>
  <c r="BQ9" i="40"/>
  <c r="BP9" i="40"/>
  <c r="BO9" i="40"/>
  <c r="BN9" i="40"/>
  <c r="BM9" i="40"/>
  <c r="BL9" i="40"/>
  <c r="BK9" i="40"/>
  <c r="BJ9" i="40"/>
  <c r="BI9" i="40"/>
  <c r="BH9" i="40"/>
  <c r="BG9" i="40"/>
  <c r="BF9" i="40"/>
  <c r="BB9" i="40"/>
  <c r="BA9" i="40"/>
  <c r="AZ9" i="40"/>
  <c r="AY9" i="40"/>
  <c r="AX9" i="40"/>
  <c r="AW9" i="40"/>
  <c r="AV9" i="40"/>
  <c r="AU9" i="40"/>
  <c r="AT9" i="40"/>
  <c r="AS9" i="40"/>
  <c r="AR9" i="40"/>
  <c r="AQ9" i="40"/>
  <c r="AP9" i="40"/>
  <c r="AO9" i="40"/>
  <c r="AN9" i="40"/>
  <c r="BT8" i="40"/>
  <c r="BS8" i="40"/>
  <c r="BR8" i="40"/>
  <c r="BQ8" i="40"/>
  <c r="BP8" i="40"/>
  <c r="BO8" i="40"/>
  <c r="BN8" i="40"/>
  <c r="BM8" i="40"/>
  <c r="BL8" i="40"/>
  <c r="BK8" i="40"/>
  <c r="BJ8" i="40"/>
  <c r="BI8" i="40"/>
  <c r="BH8" i="40"/>
  <c r="BG8" i="40"/>
  <c r="BF8" i="40"/>
  <c r="BB8" i="40"/>
  <c r="BA8" i="40"/>
  <c r="AZ8" i="40"/>
  <c r="AY8" i="40"/>
  <c r="AX8" i="40"/>
  <c r="AW8" i="40"/>
  <c r="AV8" i="40"/>
  <c r="AU8" i="40"/>
  <c r="AT8" i="40"/>
  <c r="AS8" i="40"/>
  <c r="AR8" i="40"/>
  <c r="AQ8" i="40"/>
  <c r="AP8" i="40"/>
  <c r="AO8" i="40"/>
  <c r="AN8" i="40"/>
  <c r="BT7" i="40"/>
  <c r="BS7" i="40"/>
  <c r="BR7" i="40"/>
  <c r="BQ7" i="40"/>
  <c r="BP7" i="40"/>
  <c r="BO7" i="40"/>
  <c r="BN7" i="40"/>
  <c r="BM7" i="40"/>
  <c r="BL7" i="40"/>
  <c r="BK7" i="40"/>
  <c r="BJ7" i="40"/>
  <c r="BI7" i="40"/>
  <c r="BH7" i="40"/>
  <c r="BG7" i="40"/>
  <c r="BF7" i="40"/>
  <c r="BB7" i="40"/>
  <c r="BA7" i="40"/>
  <c r="AZ7" i="40"/>
  <c r="AY7" i="40"/>
  <c r="AX7" i="40"/>
  <c r="AW7" i="40"/>
  <c r="AV7" i="40"/>
  <c r="AU7" i="40"/>
  <c r="AT7" i="40"/>
  <c r="AS7" i="40"/>
  <c r="AR7" i="40"/>
  <c r="AQ7" i="40"/>
  <c r="AP7" i="40"/>
  <c r="AO7" i="40"/>
  <c r="AN7" i="40"/>
  <c r="BT6" i="40"/>
  <c r="BS6" i="40"/>
  <c r="BR6" i="40"/>
  <c r="BQ6" i="40"/>
  <c r="BP6" i="40"/>
  <c r="BO6" i="40"/>
  <c r="BN6" i="40"/>
  <c r="BM6" i="40"/>
  <c r="BL6" i="40"/>
  <c r="BK6" i="40"/>
  <c r="BJ6" i="40"/>
  <c r="BI6" i="40"/>
  <c r="BH6" i="40"/>
  <c r="BG6" i="40"/>
  <c r="BF6" i="40"/>
  <c r="BB6" i="40"/>
  <c r="BA6" i="40"/>
  <c r="AZ6" i="40"/>
  <c r="AY6" i="40"/>
  <c r="AX6" i="40"/>
  <c r="AW6" i="40"/>
  <c r="AV6" i="40"/>
  <c r="AU6" i="40"/>
  <c r="AT6" i="40"/>
  <c r="AS6" i="40"/>
  <c r="AR6" i="40"/>
  <c r="AQ6" i="40"/>
  <c r="AP6" i="40"/>
  <c r="AO6" i="40"/>
  <c r="AN6" i="40"/>
  <c r="BT5" i="40"/>
  <c r="BS5" i="40"/>
  <c r="BR5" i="40"/>
  <c r="BQ5" i="40"/>
  <c r="BP5" i="40"/>
  <c r="BO5" i="40"/>
  <c r="BN5" i="40"/>
  <c r="BM5" i="40"/>
  <c r="BL5" i="40"/>
  <c r="BK5" i="40"/>
  <c r="BJ5" i="40"/>
  <c r="BI5" i="40"/>
  <c r="BH5" i="40"/>
  <c r="BG5" i="40"/>
  <c r="BF5" i="40"/>
  <c r="BB5" i="40"/>
  <c r="BA5" i="40"/>
  <c r="AZ5" i="40"/>
  <c r="AY5" i="40"/>
  <c r="AX5" i="40"/>
  <c r="AW5" i="40"/>
  <c r="AV5" i="40"/>
  <c r="AU5" i="40"/>
  <c r="AT5" i="40"/>
  <c r="AS5" i="40"/>
  <c r="AR5" i="40"/>
  <c r="AQ5" i="40"/>
  <c r="AP5" i="40"/>
  <c r="AO5" i="40"/>
  <c r="AN5" i="40"/>
  <c r="BT4" i="40"/>
  <c r="BS4" i="40"/>
  <c r="BR4" i="40"/>
  <c r="BQ4" i="40"/>
  <c r="BP4" i="40"/>
  <c r="BO4" i="40"/>
  <c r="BN4" i="40"/>
  <c r="BM4" i="40"/>
  <c r="BL4" i="40"/>
  <c r="BK4" i="40"/>
  <c r="BJ4" i="40"/>
  <c r="BI4" i="40"/>
  <c r="BH4" i="40"/>
  <c r="BG4" i="40"/>
  <c r="BF4" i="40"/>
  <c r="BB4" i="40"/>
  <c r="BA4" i="40"/>
  <c r="AZ4" i="40"/>
  <c r="AY4" i="40"/>
  <c r="AX4" i="40"/>
  <c r="AW4" i="40"/>
  <c r="AV4" i="40"/>
  <c r="AU4" i="40"/>
  <c r="AT4" i="40"/>
  <c r="AS4" i="40"/>
  <c r="AR4" i="40"/>
  <c r="AQ4" i="40"/>
  <c r="AP4" i="40"/>
  <c r="AO4" i="40"/>
  <c r="AN4" i="40"/>
  <c r="BT32" i="39"/>
  <c r="BS32" i="39"/>
  <c r="BR32" i="39"/>
  <c r="BQ32" i="39"/>
  <c r="BP32" i="39"/>
  <c r="BO32" i="39"/>
  <c r="BN32" i="39"/>
  <c r="BM32" i="39"/>
  <c r="BL32" i="39"/>
  <c r="BK32" i="39"/>
  <c r="BJ32" i="39"/>
  <c r="BI32" i="39"/>
  <c r="BH32" i="39"/>
  <c r="BG32" i="39"/>
  <c r="BF32" i="39"/>
  <c r="BB32" i="39"/>
  <c r="BA32" i="39"/>
  <c r="AZ32" i="39"/>
  <c r="AY32" i="39"/>
  <c r="AX32" i="39"/>
  <c r="AW32" i="39"/>
  <c r="AV32" i="39"/>
  <c r="AU32" i="39"/>
  <c r="AT32" i="39"/>
  <c r="AS32" i="39"/>
  <c r="AR32" i="39"/>
  <c r="AQ32" i="39"/>
  <c r="AP32" i="39"/>
  <c r="AO32" i="39"/>
  <c r="AN32" i="39"/>
  <c r="BT31" i="39"/>
  <c r="BS31" i="39"/>
  <c r="BR31" i="39"/>
  <c r="BQ31" i="39"/>
  <c r="BP31" i="39"/>
  <c r="BO31" i="39"/>
  <c r="BN31" i="39"/>
  <c r="BM31" i="39"/>
  <c r="BL31" i="39"/>
  <c r="BK31" i="39"/>
  <c r="BJ31" i="39"/>
  <c r="BI31" i="39"/>
  <c r="BH31" i="39"/>
  <c r="BG31" i="39"/>
  <c r="BF31" i="39"/>
  <c r="BB31" i="39"/>
  <c r="BA31" i="39"/>
  <c r="AZ31" i="39"/>
  <c r="AY31" i="39"/>
  <c r="AX31" i="39"/>
  <c r="AW31" i="39"/>
  <c r="AV31" i="39"/>
  <c r="AU31" i="39"/>
  <c r="AT31" i="39"/>
  <c r="AS31" i="39"/>
  <c r="AR31" i="39"/>
  <c r="AQ31" i="39"/>
  <c r="AP31" i="39"/>
  <c r="AO31" i="39"/>
  <c r="AN31" i="39"/>
  <c r="BT30" i="39"/>
  <c r="BS30" i="39"/>
  <c r="BR30" i="39"/>
  <c r="BQ30" i="39"/>
  <c r="BP30" i="39"/>
  <c r="BO30" i="39"/>
  <c r="BN30" i="39"/>
  <c r="BM30" i="39"/>
  <c r="BL30" i="39"/>
  <c r="BK30" i="39"/>
  <c r="BJ30" i="39"/>
  <c r="BI30" i="39"/>
  <c r="BH30" i="39"/>
  <c r="BG30" i="39"/>
  <c r="BF30" i="39"/>
  <c r="BB30" i="39"/>
  <c r="BA30" i="39"/>
  <c r="AZ30" i="39"/>
  <c r="AY30" i="39"/>
  <c r="AX30" i="39"/>
  <c r="AW30" i="39"/>
  <c r="AV30" i="39"/>
  <c r="AU30" i="39"/>
  <c r="AT30" i="39"/>
  <c r="AS30" i="39"/>
  <c r="AR30" i="39"/>
  <c r="AQ30" i="39"/>
  <c r="AP30" i="39"/>
  <c r="AO30" i="39"/>
  <c r="AN30" i="39"/>
  <c r="BT29" i="39"/>
  <c r="BS29" i="39"/>
  <c r="BR29" i="39"/>
  <c r="BQ29" i="39"/>
  <c r="BP29" i="39"/>
  <c r="BO29" i="39"/>
  <c r="BN29" i="39"/>
  <c r="BM29" i="39"/>
  <c r="BL29" i="39"/>
  <c r="BK29" i="39"/>
  <c r="BJ29" i="39"/>
  <c r="BI29" i="39"/>
  <c r="BH29" i="39"/>
  <c r="BG29" i="39"/>
  <c r="BF29" i="39"/>
  <c r="BB29" i="39"/>
  <c r="BA29" i="39"/>
  <c r="AZ29" i="39"/>
  <c r="AY29" i="39"/>
  <c r="AX29" i="39"/>
  <c r="AW29" i="39"/>
  <c r="AV29" i="39"/>
  <c r="AU29" i="39"/>
  <c r="AT29" i="39"/>
  <c r="AS29" i="39"/>
  <c r="AR29" i="39"/>
  <c r="AQ29" i="39"/>
  <c r="AP29" i="39"/>
  <c r="AO29" i="39"/>
  <c r="AN29" i="39"/>
  <c r="BT28" i="39"/>
  <c r="BS28" i="39"/>
  <c r="BR28" i="39"/>
  <c r="BQ28" i="39"/>
  <c r="BP28" i="39"/>
  <c r="BO28" i="39"/>
  <c r="BN28" i="39"/>
  <c r="BM28" i="39"/>
  <c r="BL28" i="39"/>
  <c r="BK28" i="39"/>
  <c r="BJ28" i="39"/>
  <c r="BI28" i="39"/>
  <c r="BH28" i="39"/>
  <c r="BG28" i="39"/>
  <c r="BF28" i="39"/>
  <c r="BB28" i="39"/>
  <c r="BA28" i="39"/>
  <c r="AZ28" i="39"/>
  <c r="AY28" i="39"/>
  <c r="AX28" i="39"/>
  <c r="AW28" i="39"/>
  <c r="AV28" i="39"/>
  <c r="AU28" i="39"/>
  <c r="AT28" i="39"/>
  <c r="AS28" i="39"/>
  <c r="AR28" i="39"/>
  <c r="AQ28" i="39"/>
  <c r="AP28" i="39"/>
  <c r="AO28" i="39"/>
  <c r="AN28" i="39"/>
  <c r="BT27" i="39"/>
  <c r="BS27" i="39"/>
  <c r="BR27" i="39"/>
  <c r="BQ27" i="39"/>
  <c r="BP27" i="39"/>
  <c r="BO27" i="39"/>
  <c r="BN27" i="39"/>
  <c r="BM27" i="39"/>
  <c r="BL27" i="39"/>
  <c r="BK27" i="39"/>
  <c r="BJ27" i="39"/>
  <c r="BI27" i="39"/>
  <c r="BH27" i="39"/>
  <c r="BG27" i="39"/>
  <c r="BF27" i="39"/>
  <c r="BB27" i="39"/>
  <c r="BA27" i="39"/>
  <c r="AZ27" i="39"/>
  <c r="AY27" i="39"/>
  <c r="AX27" i="39"/>
  <c r="AW27" i="39"/>
  <c r="AV27" i="39"/>
  <c r="AU27" i="39"/>
  <c r="AT27" i="39"/>
  <c r="AS27" i="39"/>
  <c r="AR27" i="39"/>
  <c r="AQ27" i="39"/>
  <c r="AP27" i="39"/>
  <c r="AO27" i="39"/>
  <c r="AN27" i="39"/>
  <c r="BT26" i="39"/>
  <c r="BS26" i="39"/>
  <c r="BR26" i="39"/>
  <c r="BQ26" i="39"/>
  <c r="BP26" i="39"/>
  <c r="BO26" i="39"/>
  <c r="BN26" i="39"/>
  <c r="BM26" i="39"/>
  <c r="BL26" i="39"/>
  <c r="BK26" i="39"/>
  <c r="BJ26" i="39"/>
  <c r="BI26" i="39"/>
  <c r="BH26" i="39"/>
  <c r="BG26" i="39"/>
  <c r="BF26" i="39"/>
  <c r="BB26" i="39"/>
  <c r="BA26" i="39"/>
  <c r="AZ26" i="39"/>
  <c r="AY26" i="39"/>
  <c r="AX26" i="39"/>
  <c r="AW26" i="39"/>
  <c r="AV26" i="39"/>
  <c r="AU26" i="39"/>
  <c r="AT26" i="39"/>
  <c r="AS26" i="39"/>
  <c r="AR26" i="39"/>
  <c r="AQ26" i="39"/>
  <c r="AP26" i="39"/>
  <c r="AO26" i="39"/>
  <c r="AN26" i="39"/>
  <c r="BT25" i="39"/>
  <c r="BS25" i="39"/>
  <c r="BR25" i="39"/>
  <c r="BQ25" i="39"/>
  <c r="BP25" i="39"/>
  <c r="BO25" i="39"/>
  <c r="BN25" i="39"/>
  <c r="BM25" i="39"/>
  <c r="BL25" i="39"/>
  <c r="BK25" i="39"/>
  <c r="BJ25" i="39"/>
  <c r="BI25" i="39"/>
  <c r="BH25" i="39"/>
  <c r="BG25" i="39"/>
  <c r="BF25" i="39"/>
  <c r="BB25" i="39"/>
  <c r="BA25" i="39"/>
  <c r="AZ25" i="39"/>
  <c r="AY25" i="39"/>
  <c r="AX25" i="39"/>
  <c r="AW25" i="39"/>
  <c r="AV25" i="39"/>
  <c r="AU25" i="39"/>
  <c r="AT25" i="39"/>
  <c r="AS25" i="39"/>
  <c r="AR25" i="39"/>
  <c r="AQ25" i="39"/>
  <c r="AP25" i="39"/>
  <c r="AO25" i="39"/>
  <c r="AN25" i="39"/>
  <c r="BT24" i="39"/>
  <c r="BS24" i="39"/>
  <c r="BR24" i="39"/>
  <c r="BQ24" i="39"/>
  <c r="BP24" i="39"/>
  <c r="BO24" i="39"/>
  <c r="BN24" i="39"/>
  <c r="BM24" i="39"/>
  <c r="BL24" i="39"/>
  <c r="BK24" i="39"/>
  <c r="BJ24" i="39"/>
  <c r="BI24" i="39"/>
  <c r="BH24" i="39"/>
  <c r="BG24" i="39"/>
  <c r="BF24" i="39"/>
  <c r="BB24" i="39"/>
  <c r="BA24" i="39"/>
  <c r="AZ24" i="39"/>
  <c r="AY24" i="39"/>
  <c r="AX24" i="39"/>
  <c r="AW24" i="39"/>
  <c r="AV24" i="39"/>
  <c r="AU24" i="39"/>
  <c r="AT24" i="39"/>
  <c r="AS24" i="39"/>
  <c r="AR24" i="39"/>
  <c r="AQ24" i="39"/>
  <c r="AP24" i="39"/>
  <c r="AO24" i="39"/>
  <c r="AN24" i="39"/>
  <c r="BT23" i="39"/>
  <c r="BS23" i="39"/>
  <c r="BR23" i="39"/>
  <c r="BQ23" i="39"/>
  <c r="BP23" i="39"/>
  <c r="BO23" i="39"/>
  <c r="BN23" i="39"/>
  <c r="BM23" i="39"/>
  <c r="BL23" i="39"/>
  <c r="BK23" i="39"/>
  <c r="BJ23" i="39"/>
  <c r="BI23" i="39"/>
  <c r="BH23" i="39"/>
  <c r="BG23" i="39"/>
  <c r="BF23" i="39"/>
  <c r="BB23" i="39"/>
  <c r="BA23" i="39"/>
  <c r="AZ23" i="39"/>
  <c r="AY23" i="39"/>
  <c r="AX23" i="39"/>
  <c r="AW23" i="39"/>
  <c r="AV23" i="39"/>
  <c r="AU23" i="39"/>
  <c r="AT23" i="39"/>
  <c r="AS23" i="39"/>
  <c r="AR23" i="39"/>
  <c r="AQ23" i="39"/>
  <c r="AP23" i="39"/>
  <c r="AO23" i="39"/>
  <c r="AN23" i="39"/>
  <c r="BT22" i="39"/>
  <c r="BS22" i="39"/>
  <c r="BR22" i="39"/>
  <c r="BQ22" i="39"/>
  <c r="BP22" i="39"/>
  <c r="BO22" i="39"/>
  <c r="BN22" i="39"/>
  <c r="BM22" i="39"/>
  <c r="BL22" i="39"/>
  <c r="BK22" i="39"/>
  <c r="BJ22" i="39"/>
  <c r="BI22" i="39"/>
  <c r="BH22" i="39"/>
  <c r="BG22" i="39"/>
  <c r="BF22" i="39"/>
  <c r="BB22" i="39"/>
  <c r="BA22" i="39"/>
  <c r="AZ22" i="39"/>
  <c r="AY22" i="39"/>
  <c r="AX22" i="39"/>
  <c r="AW22" i="39"/>
  <c r="AV22" i="39"/>
  <c r="AU22" i="39"/>
  <c r="AT22" i="39"/>
  <c r="AS22" i="39"/>
  <c r="AR22" i="39"/>
  <c r="AQ22" i="39"/>
  <c r="AP22" i="39"/>
  <c r="AO22" i="39"/>
  <c r="AN22" i="39"/>
  <c r="BT21" i="39"/>
  <c r="BS21" i="39"/>
  <c r="BR21" i="39"/>
  <c r="BQ21" i="39"/>
  <c r="BP21" i="39"/>
  <c r="BO21" i="39"/>
  <c r="BN21" i="39"/>
  <c r="BM21" i="39"/>
  <c r="BL21" i="39"/>
  <c r="BK21" i="39"/>
  <c r="BJ21" i="39"/>
  <c r="BI21" i="39"/>
  <c r="BH21" i="39"/>
  <c r="BG21" i="39"/>
  <c r="BF21" i="39"/>
  <c r="BB21" i="39"/>
  <c r="BA21" i="39"/>
  <c r="AZ21" i="39"/>
  <c r="AY21" i="39"/>
  <c r="AY33" i="39" s="1"/>
  <c r="AX21" i="39"/>
  <c r="AW21" i="39"/>
  <c r="AV21" i="39"/>
  <c r="AU21" i="39"/>
  <c r="AU33" i="39" s="1"/>
  <c r="AT21" i="39"/>
  <c r="AS21" i="39"/>
  <c r="AR21" i="39"/>
  <c r="AQ21" i="39"/>
  <c r="AQ33" i="39" s="1"/>
  <c r="AP21" i="39"/>
  <c r="AO21" i="39"/>
  <c r="AN21" i="39"/>
  <c r="BT15" i="39"/>
  <c r="BS15" i="39"/>
  <c r="BR15" i="39"/>
  <c r="BQ15" i="39"/>
  <c r="BP15" i="39"/>
  <c r="BO15" i="39"/>
  <c r="BN15" i="39"/>
  <c r="BM15" i="39"/>
  <c r="BL15" i="39"/>
  <c r="BK15" i="39"/>
  <c r="BJ15" i="39"/>
  <c r="BI15" i="39"/>
  <c r="BH15" i="39"/>
  <c r="BG15" i="39"/>
  <c r="BF15" i="39"/>
  <c r="BB15" i="39"/>
  <c r="BA15" i="39"/>
  <c r="AZ15" i="39"/>
  <c r="AY15" i="39"/>
  <c r="AX15" i="39"/>
  <c r="AW15" i="39"/>
  <c r="AV15" i="39"/>
  <c r="AU15" i="39"/>
  <c r="AT15" i="39"/>
  <c r="AS15" i="39"/>
  <c r="AR15" i="39"/>
  <c r="AQ15" i="39"/>
  <c r="AP15" i="39"/>
  <c r="AO15" i="39"/>
  <c r="AN15" i="39"/>
  <c r="BT14" i="39"/>
  <c r="BS14" i="39"/>
  <c r="BR14" i="39"/>
  <c r="BQ14" i="39"/>
  <c r="BP14" i="39"/>
  <c r="BO14" i="39"/>
  <c r="BN14" i="39"/>
  <c r="BM14" i="39"/>
  <c r="BL14" i="39"/>
  <c r="BK14" i="39"/>
  <c r="BJ14" i="39"/>
  <c r="BI14" i="39"/>
  <c r="BH14" i="39"/>
  <c r="BG14" i="39"/>
  <c r="BF14" i="39"/>
  <c r="BB14" i="39"/>
  <c r="BA14" i="39"/>
  <c r="AZ14" i="39"/>
  <c r="AY14" i="39"/>
  <c r="AX14" i="39"/>
  <c r="AW14" i="39"/>
  <c r="AV14" i="39"/>
  <c r="AU14" i="39"/>
  <c r="AT14" i="39"/>
  <c r="AS14" i="39"/>
  <c r="AR14" i="39"/>
  <c r="AQ14" i="39"/>
  <c r="AP14" i="39"/>
  <c r="AO14" i="39"/>
  <c r="AN14" i="39"/>
  <c r="BT13" i="39"/>
  <c r="BS13" i="39"/>
  <c r="BR13" i="39"/>
  <c r="BQ13" i="39"/>
  <c r="BP13" i="39"/>
  <c r="BO13" i="39"/>
  <c r="BN13" i="39"/>
  <c r="BM13" i="39"/>
  <c r="BL13" i="39"/>
  <c r="BK13" i="39"/>
  <c r="BJ13" i="39"/>
  <c r="BI13" i="39"/>
  <c r="BH13" i="39"/>
  <c r="BG13" i="39"/>
  <c r="BF13" i="39"/>
  <c r="BB13" i="39"/>
  <c r="BA13" i="39"/>
  <c r="AZ13" i="39"/>
  <c r="AY13" i="39"/>
  <c r="AX13" i="39"/>
  <c r="AW13" i="39"/>
  <c r="AV13" i="39"/>
  <c r="AU13" i="39"/>
  <c r="AT13" i="39"/>
  <c r="AS13" i="39"/>
  <c r="AR13" i="39"/>
  <c r="AQ13" i="39"/>
  <c r="AP13" i="39"/>
  <c r="AO13" i="39"/>
  <c r="AN13" i="39"/>
  <c r="BT12" i="39"/>
  <c r="BS12" i="39"/>
  <c r="BR12" i="39"/>
  <c r="BQ12" i="39"/>
  <c r="BP12" i="39"/>
  <c r="BO12" i="39"/>
  <c r="BN12" i="39"/>
  <c r="BM12" i="39"/>
  <c r="BL12" i="39"/>
  <c r="BK12" i="39"/>
  <c r="BJ12" i="39"/>
  <c r="BI12" i="39"/>
  <c r="BH12" i="39"/>
  <c r="BG12" i="39"/>
  <c r="BF12" i="39"/>
  <c r="BB12" i="39"/>
  <c r="BA12" i="39"/>
  <c r="AZ12" i="39"/>
  <c r="AY12" i="39"/>
  <c r="AX12" i="39"/>
  <c r="AW12" i="39"/>
  <c r="AV12" i="39"/>
  <c r="AU12" i="39"/>
  <c r="AT12" i="39"/>
  <c r="AS12" i="39"/>
  <c r="AR12" i="39"/>
  <c r="AQ12" i="39"/>
  <c r="AP12" i="39"/>
  <c r="AO12" i="39"/>
  <c r="AN12" i="39"/>
  <c r="BT11" i="39"/>
  <c r="BS11" i="39"/>
  <c r="BR11" i="39"/>
  <c r="BQ11" i="39"/>
  <c r="BP11" i="39"/>
  <c r="BO11" i="39"/>
  <c r="BN11" i="39"/>
  <c r="BM11" i="39"/>
  <c r="BL11" i="39"/>
  <c r="BK11" i="39"/>
  <c r="BJ11" i="39"/>
  <c r="BI11" i="39"/>
  <c r="BH11" i="39"/>
  <c r="BG11" i="39"/>
  <c r="BF11" i="39"/>
  <c r="BB11" i="39"/>
  <c r="BA11" i="39"/>
  <c r="AZ11" i="39"/>
  <c r="AY11" i="39"/>
  <c r="AX11" i="39"/>
  <c r="AW11" i="39"/>
  <c r="AV11" i="39"/>
  <c r="AU11" i="39"/>
  <c r="AT11" i="39"/>
  <c r="AS11" i="39"/>
  <c r="AR11" i="39"/>
  <c r="AQ11" i="39"/>
  <c r="AP11" i="39"/>
  <c r="AO11" i="39"/>
  <c r="AN11" i="39"/>
  <c r="BT10" i="39"/>
  <c r="BS10" i="39"/>
  <c r="BR10" i="39"/>
  <c r="BQ10" i="39"/>
  <c r="BP10" i="39"/>
  <c r="BO10" i="39"/>
  <c r="BN10" i="39"/>
  <c r="BM10" i="39"/>
  <c r="BL10" i="39"/>
  <c r="BK10" i="39"/>
  <c r="BJ10" i="39"/>
  <c r="BI10" i="39"/>
  <c r="BH10" i="39"/>
  <c r="BG10" i="39"/>
  <c r="BF10" i="39"/>
  <c r="BB10" i="39"/>
  <c r="BA10" i="39"/>
  <c r="AZ10" i="39"/>
  <c r="AY10" i="39"/>
  <c r="AX10" i="39"/>
  <c r="AW10" i="39"/>
  <c r="AV10" i="39"/>
  <c r="AU10" i="39"/>
  <c r="AT10" i="39"/>
  <c r="AS10" i="39"/>
  <c r="AR10" i="39"/>
  <c r="AQ10" i="39"/>
  <c r="AP10" i="39"/>
  <c r="AO10" i="39"/>
  <c r="AN10" i="39"/>
  <c r="BT9" i="39"/>
  <c r="BS9" i="39"/>
  <c r="BR9" i="39"/>
  <c r="BQ9" i="39"/>
  <c r="BP9" i="39"/>
  <c r="BO9" i="39"/>
  <c r="BN9" i="39"/>
  <c r="BM9" i="39"/>
  <c r="BL9" i="39"/>
  <c r="BK9" i="39"/>
  <c r="BJ9" i="39"/>
  <c r="BI9" i="39"/>
  <c r="BH9" i="39"/>
  <c r="BG9" i="39"/>
  <c r="BF9" i="39"/>
  <c r="BB9" i="39"/>
  <c r="BA9" i="39"/>
  <c r="AZ9" i="39"/>
  <c r="AY9" i="39"/>
  <c r="AX9" i="39"/>
  <c r="AW9" i="39"/>
  <c r="AV9" i="39"/>
  <c r="AU9" i="39"/>
  <c r="AT9" i="39"/>
  <c r="AS9" i="39"/>
  <c r="AR9" i="39"/>
  <c r="AQ9" i="39"/>
  <c r="AP9" i="39"/>
  <c r="AO9" i="39"/>
  <c r="AN9" i="39"/>
  <c r="BT8" i="39"/>
  <c r="BS8" i="39"/>
  <c r="BR8" i="39"/>
  <c r="BQ8" i="39"/>
  <c r="BP8" i="39"/>
  <c r="BO8" i="39"/>
  <c r="BN8" i="39"/>
  <c r="BM8" i="39"/>
  <c r="BL8" i="39"/>
  <c r="BK8" i="39"/>
  <c r="BJ8" i="39"/>
  <c r="BI8" i="39"/>
  <c r="BH8" i="39"/>
  <c r="BG8" i="39"/>
  <c r="BF8" i="39"/>
  <c r="BB8" i="39"/>
  <c r="BA8" i="39"/>
  <c r="AZ8" i="39"/>
  <c r="AY8" i="39"/>
  <c r="AX8" i="39"/>
  <c r="AW8" i="39"/>
  <c r="AV8" i="39"/>
  <c r="AU8" i="39"/>
  <c r="AT8" i="39"/>
  <c r="AS8" i="39"/>
  <c r="AR8" i="39"/>
  <c r="AQ8" i="39"/>
  <c r="AP8" i="39"/>
  <c r="AO8" i="39"/>
  <c r="AN8" i="39"/>
  <c r="BT7" i="39"/>
  <c r="BS7" i="39"/>
  <c r="BR7" i="39"/>
  <c r="BQ7" i="39"/>
  <c r="BP7" i="39"/>
  <c r="BO7" i="39"/>
  <c r="BN7" i="39"/>
  <c r="BM7" i="39"/>
  <c r="BL7" i="39"/>
  <c r="BK7" i="39"/>
  <c r="BJ7" i="39"/>
  <c r="BI7" i="39"/>
  <c r="BH7" i="39"/>
  <c r="BG7" i="39"/>
  <c r="BF7" i="39"/>
  <c r="BB7" i="39"/>
  <c r="BA7" i="39"/>
  <c r="AZ7" i="39"/>
  <c r="AY7" i="39"/>
  <c r="AX7" i="39"/>
  <c r="AW7" i="39"/>
  <c r="AV7" i="39"/>
  <c r="AU7" i="39"/>
  <c r="AT7" i="39"/>
  <c r="AS7" i="39"/>
  <c r="AR7" i="39"/>
  <c r="AQ7" i="39"/>
  <c r="AP7" i="39"/>
  <c r="AO7" i="39"/>
  <c r="AN7" i="39"/>
  <c r="BT6" i="39"/>
  <c r="BS6" i="39"/>
  <c r="BR6" i="39"/>
  <c r="BQ6" i="39"/>
  <c r="BP6" i="39"/>
  <c r="BO6" i="39"/>
  <c r="BN6" i="39"/>
  <c r="BM6" i="39"/>
  <c r="BL6" i="39"/>
  <c r="BK6" i="39"/>
  <c r="BJ6" i="39"/>
  <c r="BI6" i="39"/>
  <c r="BH6" i="39"/>
  <c r="BG6" i="39"/>
  <c r="BF6" i="39"/>
  <c r="BB6" i="39"/>
  <c r="BA6" i="39"/>
  <c r="AZ6" i="39"/>
  <c r="AY6" i="39"/>
  <c r="AX6" i="39"/>
  <c r="AW6" i="39"/>
  <c r="AV6" i="39"/>
  <c r="AU6" i="39"/>
  <c r="AT6" i="39"/>
  <c r="AS6" i="39"/>
  <c r="AR6" i="39"/>
  <c r="AQ6" i="39"/>
  <c r="AP6" i="39"/>
  <c r="AO6" i="39"/>
  <c r="AN6" i="39"/>
  <c r="BT5" i="39"/>
  <c r="BS5" i="39"/>
  <c r="BR5" i="39"/>
  <c r="BQ5" i="39"/>
  <c r="BP5" i="39"/>
  <c r="BO5" i="39"/>
  <c r="BN5" i="39"/>
  <c r="BM5" i="39"/>
  <c r="BL5" i="39"/>
  <c r="BK5" i="39"/>
  <c r="BJ5" i="39"/>
  <c r="BI5" i="39"/>
  <c r="BH5" i="39"/>
  <c r="BG5" i="39"/>
  <c r="BF5" i="39"/>
  <c r="BB5" i="39"/>
  <c r="BA5" i="39"/>
  <c r="AZ5" i="39"/>
  <c r="AY5" i="39"/>
  <c r="AX5" i="39"/>
  <c r="AW5" i="39"/>
  <c r="AV5" i="39"/>
  <c r="AU5" i="39"/>
  <c r="AT5" i="39"/>
  <c r="AS5" i="39"/>
  <c r="AR5" i="39"/>
  <c r="AQ5" i="39"/>
  <c r="AP5" i="39"/>
  <c r="AO5" i="39"/>
  <c r="AN5" i="39"/>
  <c r="BT4" i="39"/>
  <c r="BS4" i="39"/>
  <c r="BR4" i="39"/>
  <c r="BQ4" i="39"/>
  <c r="BP4" i="39"/>
  <c r="BO4" i="39"/>
  <c r="BN4" i="39"/>
  <c r="BN16" i="39" s="1"/>
  <c r="BM4" i="39"/>
  <c r="BL4" i="39"/>
  <c r="BK4" i="39"/>
  <c r="BJ4" i="39"/>
  <c r="BJ16" i="39" s="1"/>
  <c r="BI4" i="39"/>
  <c r="BH4" i="39"/>
  <c r="BG4" i="39"/>
  <c r="BF4" i="39"/>
  <c r="BB4" i="39"/>
  <c r="BA4" i="39"/>
  <c r="AZ4" i="39"/>
  <c r="AY4" i="39"/>
  <c r="AY16" i="39" s="1"/>
  <c r="AX4" i="39"/>
  <c r="AW4" i="39"/>
  <c r="AV4" i="39"/>
  <c r="AU4" i="39"/>
  <c r="AU16" i="39" s="1"/>
  <c r="AT4" i="39"/>
  <c r="AS4" i="39"/>
  <c r="AR4" i="39"/>
  <c r="AQ4" i="39"/>
  <c r="AQ16" i="39" s="1"/>
  <c r="AP4" i="39"/>
  <c r="AO4" i="39"/>
  <c r="AN4" i="39"/>
  <c r="BT32" i="38"/>
  <c r="BS32" i="38"/>
  <c r="BR32" i="38"/>
  <c r="BQ32" i="38"/>
  <c r="BP32" i="38"/>
  <c r="BO32" i="38"/>
  <c r="BN32" i="38"/>
  <c r="BM32" i="38"/>
  <c r="BL32" i="38"/>
  <c r="BK32" i="38"/>
  <c r="BJ32" i="38"/>
  <c r="BI32" i="38"/>
  <c r="BH32" i="38"/>
  <c r="BG32" i="38"/>
  <c r="BF32" i="38"/>
  <c r="BB32" i="38"/>
  <c r="BA32" i="38"/>
  <c r="AZ32" i="38"/>
  <c r="AY32" i="38"/>
  <c r="AX32" i="38"/>
  <c r="AW32" i="38"/>
  <c r="AV32" i="38"/>
  <c r="AU32" i="38"/>
  <c r="AT32" i="38"/>
  <c r="AS32" i="38"/>
  <c r="AR32" i="38"/>
  <c r="AQ32" i="38"/>
  <c r="AP32" i="38"/>
  <c r="AO32" i="38"/>
  <c r="AN32" i="38"/>
  <c r="BT31" i="38"/>
  <c r="BS31" i="38"/>
  <c r="BR31" i="38"/>
  <c r="BQ31" i="38"/>
  <c r="BP31" i="38"/>
  <c r="BO31" i="38"/>
  <c r="BN31" i="38"/>
  <c r="BM31" i="38"/>
  <c r="BL31" i="38"/>
  <c r="BK31" i="38"/>
  <c r="BJ31" i="38"/>
  <c r="BI31" i="38"/>
  <c r="BH31" i="38"/>
  <c r="BG31" i="38"/>
  <c r="BF31" i="38"/>
  <c r="BB31" i="38"/>
  <c r="BA31" i="38"/>
  <c r="AZ31" i="38"/>
  <c r="AY31" i="38"/>
  <c r="AX31" i="38"/>
  <c r="AW31" i="38"/>
  <c r="AV31" i="38"/>
  <c r="AU31" i="38"/>
  <c r="AT31" i="38"/>
  <c r="AS31" i="38"/>
  <c r="AR31" i="38"/>
  <c r="AQ31" i="38"/>
  <c r="AP31" i="38"/>
  <c r="AO31" i="38"/>
  <c r="AN31" i="38"/>
  <c r="BT30" i="38"/>
  <c r="BS30" i="38"/>
  <c r="BR30" i="38"/>
  <c r="BQ30" i="38"/>
  <c r="BP30" i="38"/>
  <c r="BO30" i="38"/>
  <c r="BN30" i="38"/>
  <c r="BM30" i="38"/>
  <c r="BL30" i="38"/>
  <c r="BK30" i="38"/>
  <c r="BJ30" i="38"/>
  <c r="BI30" i="38"/>
  <c r="BH30" i="38"/>
  <c r="BG30" i="38"/>
  <c r="BF30" i="38"/>
  <c r="BB30" i="38"/>
  <c r="BA30" i="38"/>
  <c r="AZ30" i="38"/>
  <c r="AY30" i="38"/>
  <c r="AX30" i="38"/>
  <c r="AW30" i="38"/>
  <c r="AV30" i="38"/>
  <c r="AU30" i="38"/>
  <c r="AT30" i="38"/>
  <c r="AS30" i="38"/>
  <c r="AR30" i="38"/>
  <c r="AQ30" i="38"/>
  <c r="AP30" i="38"/>
  <c r="AO30" i="38"/>
  <c r="AN30" i="38"/>
  <c r="BT29" i="38"/>
  <c r="BS29" i="38"/>
  <c r="BR29" i="38"/>
  <c r="BQ29" i="38"/>
  <c r="BP29" i="38"/>
  <c r="BO29" i="38"/>
  <c r="BN29" i="38"/>
  <c r="BM29" i="38"/>
  <c r="BL29" i="38"/>
  <c r="BK29" i="38"/>
  <c r="BJ29" i="38"/>
  <c r="BI29" i="38"/>
  <c r="BH29" i="38"/>
  <c r="BG29" i="38"/>
  <c r="BF29" i="38"/>
  <c r="BB29" i="38"/>
  <c r="BA29" i="38"/>
  <c r="AZ29" i="38"/>
  <c r="AY29" i="38"/>
  <c r="AX29" i="38"/>
  <c r="AW29" i="38"/>
  <c r="AV29" i="38"/>
  <c r="AU29" i="38"/>
  <c r="AT29" i="38"/>
  <c r="AS29" i="38"/>
  <c r="AR29" i="38"/>
  <c r="AQ29" i="38"/>
  <c r="AP29" i="38"/>
  <c r="AO29" i="38"/>
  <c r="AN29" i="38"/>
  <c r="BT28" i="38"/>
  <c r="BS28" i="38"/>
  <c r="BR28" i="38"/>
  <c r="BQ28" i="38"/>
  <c r="BP28" i="38"/>
  <c r="BO28" i="38"/>
  <c r="BN28" i="38"/>
  <c r="BM28" i="38"/>
  <c r="BL28" i="38"/>
  <c r="BK28" i="38"/>
  <c r="BJ28" i="38"/>
  <c r="BI28" i="38"/>
  <c r="BH28" i="38"/>
  <c r="BG28" i="38"/>
  <c r="BF28" i="38"/>
  <c r="BB28" i="38"/>
  <c r="BA28" i="38"/>
  <c r="AZ28" i="38"/>
  <c r="AY28" i="38"/>
  <c r="AX28" i="38"/>
  <c r="AW28" i="38"/>
  <c r="AV28" i="38"/>
  <c r="AU28" i="38"/>
  <c r="AT28" i="38"/>
  <c r="AS28" i="38"/>
  <c r="AR28" i="38"/>
  <c r="AQ28" i="38"/>
  <c r="AP28" i="38"/>
  <c r="AO28" i="38"/>
  <c r="AN28" i="38"/>
  <c r="BT27" i="38"/>
  <c r="BS27" i="38"/>
  <c r="BR27" i="38"/>
  <c r="BQ27" i="38"/>
  <c r="BP27" i="38"/>
  <c r="BO27" i="38"/>
  <c r="BN27" i="38"/>
  <c r="BM27" i="38"/>
  <c r="BL27" i="38"/>
  <c r="BK27" i="38"/>
  <c r="BJ27" i="38"/>
  <c r="BI27" i="38"/>
  <c r="BH27" i="38"/>
  <c r="BG27" i="38"/>
  <c r="BF27" i="38"/>
  <c r="BB27" i="38"/>
  <c r="BA27" i="38"/>
  <c r="AZ27" i="38"/>
  <c r="AY27" i="38"/>
  <c r="AX27" i="38"/>
  <c r="AW27" i="38"/>
  <c r="AV27" i="38"/>
  <c r="AU27" i="38"/>
  <c r="AT27" i="38"/>
  <c r="AS27" i="38"/>
  <c r="AR27" i="38"/>
  <c r="AQ27" i="38"/>
  <c r="AP27" i="38"/>
  <c r="AO27" i="38"/>
  <c r="AN27" i="38"/>
  <c r="BT26" i="38"/>
  <c r="BS26" i="38"/>
  <c r="BR26" i="38"/>
  <c r="BQ26" i="38"/>
  <c r="BP26" i="38"/>
  <c r="BO26" i="38"/>
  <c r="BN26" i="38"/>
  <c r="BM26" i="38"/>
  <c r="BL26" i="38"/>
  <c r="BK26" i="38"/>
  <c r="BJ26" i="38"/>
  <c r="BI26" i="38"/>
  <c r="BH26" i="38"/>
  <c r="BG26" i="38"/>
  <c r="BF26" i="38"/>
  <c r="BB26" i="38"/>
  <c r="BA26" i="38"/>
  <c r="AZ26" i="38"/>
  <c r="AY26" i="38"/>
  <c r="AX26" i="38"/>
  <c r="AW26" i="38"/>
  <c r="AV26" i="38"/>
  <c r="AU26" i="38"/>
  <c r="AT26" i="38"/>
  <c r="AS26" i="38"/>
  <c r="AR26" i="38"/>
  <c r="AQ26" i="38"/>
  <c r="AP26" i="38"/>
  <c r="AO26" i="38"/>
  <c r="AN26" i="38"/>
  <c r="BT25" i="38"/>
  <c r="BS25" i="38"/>
  <c r="BR25" i="38"/>
  <c r="BQ25" i="38"/>
  <c r="BP25" i="38"/>
  <c r="BO25" i="38"/>
  <c r="BN25" i="38"/>
  <c r="BM25" i="38"/>
  <c r="BL25" i="38"/>
  <c r="BK25" i="38"/>
  <c r="BJ25" i="38"/>
  <c r="BI25" i="38"/>
  <c r="BH25" i="38"/>
  <c r="BG25" i="38"/>
  <c r="BF25" i="38"/>
  <c r="BB25" i="38"/>
  <c r="BA25" i="38"/>
  <c r="AZ25" i="38"/>
  <c r="AY25" i="38"/>
  <c r="AX25" i="38"/>
  <c r="AW25" i="38"/>
  <c r="AV25" i="38"/>
  <c r="AU25" i="38"/>
  <c r="AT25" i="38"/>
  <c r="AS25" i="38"/>
  <c r="AR25" i="38"/>
  <c r="AQ25" i="38"/>
  <c r="AP25" i="38"/>
  <c r="AO25" i="38"/>
  <c r="AN25" i="38"/>
  <c r="BT24" i="38"/>
  <c r="BS24" i="38"/>
  <c r="BR24" i="38"/>
  <c r="BQ24" i="38"/>
  <c r="BP24" i="38"/>
  <c r="BO24" i="38"/>
  <c r="BN24" i="38"/>
  <c r="BM24" i="38"/>
  <c r="BL24" i="38"/>
  <c r="BK24" i="38"/>
  <c r="BJ24" i="38"/>
  <c r="BI24" i="38"/>
  <c r="BH24" i="38"/>
  <c r="BG24" i="38"/>
  <c r="BF24" i="38"/>
  <c r="BB24" i="38"/>
  <c r="BA24" i="38"/>
  <c r="AZ24" i="38"/>
  <c r="AY24" i="38"/>
  <c r="AX24" i="38"/>
  <c r="AW24" i="38"/>
  <c r="AV24" i="38"/>
  <c r="AU24" i="38"/>
  <c r="AT24" i="38"/>
  <c r="AS24" i="38"/>
  <c r="AR24" i="38"/>
  <c r="AQ24" i="38"/>
  <c r="AP24" i="38"/>
  <c r="AO24" i="38"/>
  <c r="AN24" i="38"/>
  <c r="BT23" i="38"/>
  <c r="BS23" i="38"/>
  <c r="BR23" i="38"/>
  <c r="BQ23" i="38"/>
  <c r="BP23" i="38"/>
  <c r="BO23" i="38"/>
  <c r="BN23" i="38"/>
  <c r="BM23" i="38"/>
  <c r="BL23" i="38"/>
  <c r="BK23" i="38"/>
  <c r="BJ23" i="38"/>
  <c r="BI23" i="38"/>
  <c r="BH23" i="38"/>
  <c r="BG23" i="38"/>
  <c r="BF23" i="38"/>
  <c r="BB23" i="38"/>
  <c r="BA23" i="38"/>
  <c r="AZ23" i="38"/>
  <c r="AY23" i="38"/>
  <c r="AX23" i="38"/>
  <c r="AW23" i="38"/>
  <c r="AV23" i="38"/>
  <c r="AU23" i="38"/>
  <c r="AT23" i="38"/>
  <c r="AS23" i="38"/>
  <c r="AR23" i="38"/>
  <c r="AQ23" i="38"/>
  <c r="AP23" i="38"/>
  <c r="AO23" i="38"/>
  <c r="AN23" i="38"/>
  <c r="BT22" i="38"/>
  <c r="BS22" i="38"/>
  <c r="BR22" i="38"/>
  <c r="BQ22" i="38"/>
  <c r="BP22" i="38"/>
  <c r="BO22" i="38"/>
  <c r="BN22" i="38"/>
  <c r="BM22" i="38"/>
  <c r="BL22" i="38"/>
  <c r="BK22" i="38"/>
  <c r="BJ22" i="38"/>
  <c r="BI22" i="38"/>
  <c r="BH22" i="38"/>
  <c r="BG22" i="38"/>
  <c r="BF22" i="38"/>
  <c r="BB22" i="38"/>
  <c r="BA22" i="38"/>
  <c r="AZ22" i="38"/>
  <c r="AY22" i="38"/>
  <c r="AX22" i="38"/>
  <c r="AW22" i="38"/>
  <c r="AV22" i="38"/>
  <c r="AU22" i="38"/>
  <c r="AT22" i="38"/>
  <c r="AS22" i="38"/>
  <c r="AR22" i="38"/>
  <c r="AQ22" i="38"/>
  <c r="AP22" i="38"/>
  <c r="AO22" i="38"/>
  <c r="AN22" i="38"/>
  <c r="BT21" i="38"/>
  <c r="BS21" i="38"/>
  <c r="BR21" i="38"/>
  <c r="BQ21" i="38"/>
  <c r="BP21" i="38"/>
  <c r="BO21" i="38"/>
  <c r="BN21" i="38"/>
  <c r="BM21" i="38"/>
  <c r="BL21" i="38"/>
  <c r="BK21" i="38"/>
  <c r="BJ21" i="38"/>
  <c r="BI21" i="38"/>
  <c r="BH21" i="38"/>
  <c r="BG21" i="38"/>
  <c r="BF21" i="38"/>
  <c r="BB21" i="38"/>
  <c r="BA21" i="38"/>
  <c r="AZ21" i="38"/>
  <c r="AY21" i="38"/>
  <c r="AX21" i="38"/>
  <c r="AW21" i="38"/>
  <c r="AV21" i="38"/>
  <c r="AU21" i="38"/>
  <c r="AT21" i="38"/>
  <c r="AS21" i="38"/>
  <c r="AR21" i="38"/>
  <c r="AQ21" i="38"/>
  <c r="AP21" i="38"/>
  <c r="AO21" i="38"/>
  <c r="AN21" i="38"/>
  <c r="BT15" i="38"/>
  <c r="BS15" i="38"/>
  <c r="BR15" i="38"/>
  <c r="BQ15" i="38"/>
  <c r="BP15" i="38"/>
  <c r="BO15" i="38"/>
  <c r="BN15" i="38"/>
  <c r="BM15" i="38"/>
  <c r="BL15" i="38"/>
  <c r="BK15" i="38"/>
  <c r="BJ15" i="38"/>
  <c r="BI15" i="38"/>
  <c r="BH15" i="38"/>
  <c r="BG15" i="38"/>
  <c r="BF15" i="38"/>
  <c r="BB15" i="38"/>
  <c r="BA15" i="38"/>
  <c r="AZ15" i="38"/>
  <c r="AY15" i="38"/>
  <c r="AX15" i="38"/>
  <c r="AW15" i="38"/>
  <c r="AV15" i="38"/>
  <c r="AU15" i="38"/>
  <c r="AT15" i="38"/>
  <c r="AS15" i="38"/>
  <c r="AR15" i="38"/>
  <c r="AQ15" i="38"/>
  <c r="AP15" i="38"/>
  <c r="AO15" i="38"/>
  <c r="AN15" i="38"/>
  <c r="BT14" i="38"/>
  <c r="BS14" i="38"/>
  <c r="BR14" i="38"/>
  <c r="BQ14" i="38"/>
  <c r="BP14" i="38"/>
  <c r="BO14" i="38"/>
  <c r="BN14" i="38"/>
  <c r="BM14" i="38"/>
  <c r="BL14" i="38"/>
  <c r="BK14" i="38"/>
  <c r="BJ14" i="38"/>
  <c r="BI14" i="38"/>
  <c r="BH14" i="38"/>
  <c r="BG14" i="38"/>
  <c r="BF14" i="38"/>
  <c r="BB14" i="38"/>
  <c r="BA14" i="38"/>
  <c r="AZ14" i="38"/>
  <c r="AY14" i="38"/>
  <c r="AX14" i="38"/>
  <c r="AW14" i="38"/>
  <c r="AV14" i="38"/>
  <c r="AU14" i="38"/>
  <c r="AT14" i="38"/>
  <c r="AS14" i="38"/>
  <c r="AR14" i="38"/>
  <c r="AQ14" i="38"/>
  <c r="AP14" i="38"/>
  <c r="AO14" i="38"/>
  <c r="AN14" i="38"/>
  <c r="BT13" i="38"/>
  <c r="BS13" i="38"/>
  <c r="BR13" i="38"/>
  <c r="BQ13" i="38"/>
  <c r="BP13" i="38"/>
  <c r="BO13" i="38"/>
  <c r="BN13" i="38"/>
  <c r="BM13" i="38"/>
  <c r="BL13" i="38"/>
  <c r="BK13" i="38"/>
  <c r="BJ13" i="38"/>
  <c r="BI13" i="38"/>
  <c r="BH13" i="38"/>
  <c r="BG13" i="38"/>
  <c r="BF13" i="38"/>
  <c r="BB13" i="38"/>
  <c r="BA13" i="38"/>
  <c r="AZ13" i="38"/>
  <c r="AY13" i="38"/>
  <c r="AX13" i="38"/>
  <c r="AW13" i="38"/>
  <c r="AV13" i="38"/>
  <c r="AU13" i="38"/>
  <c r="AT13" i="38"/>
  <c r="AS13" i="38"/>
  <c r="AR13" i="38"/>
  <c r="AQ13" i="38"/>
  <c r="AP13" i="38"/>
  <c r="AO13" i="38"/>
  <c r="AN13" i="38"/>
  <c r="BT12" i="38"/>
  <c r="BS12" i="38"/>
  <c r="BR12" i="38"/>
  <c r="BQ12" i="38"/>
  <c r="BP12" i="38"/>
  <c r="BO12" i="38"/>
  <c r="BN12" i="38"/>
  <c r="BM12" i="38"/>
  <c r="BL12" i="38"/>
  <c r="BK12" i="38"/>
  <c r="BJ12" i="38"/>
  <c r="BI12" i="38"/>
  <c r="BH12" i="38"/>
  <c r="BG12" i="38"/>
  <c r="BF12" i="38"/>
  <c r="BB12" i="38"/>
  <c r="BA12" i="38"/>
  <c r="AZ12" i="38"/>
  <c r="AY12" i="38"/>
  <c r="AX12" i="38"/>
  <c r="AW12" i="38"/>
  <c r="AV12" i="38"/>
  <c r="AU12" i="38"/>
  <c r="AT12" i="38"/>
  <c r="AS12" i="38"/>
  <c r="AR12" i="38"/>
  <c r="AQ12" i="38"/>
  <c r="AP12" i="38"/>
  <c r="AO12" i="38"/>
  <c r="AN12" i="38"/>
  <c r="BT11" i="38"/>
  <c r="BS11" i="38"/>
  <c r="BR11" i="38"/>
  <c r="BQ11" i="38"/>
  <c r="BP11" i="38"/>
  <c r="BO11" i="38"/>
  <c r="BN11" i="38"/>
  <c r="BM11" i="38"/>
  <c r="BL11" i="38"/>
  <c r="BK11" i="38"/>
  <c r="BJ11" i="38"/>
  <c r="BI11" i="38"/>
  <c r="BH11" i="38"/>
  <c r="BG11" i="38"/>
  <c r="BF11" i="38"/>
  <c r="BB11" i="38"/>
  <c r="BA11" i="38"/>
  <c r="AZ11" i="38"/>
  <c r="AY11" i="38"/>
  <c r="AX11" i="38"/>
  <c r="AW11" i="38"/>
  <c r="AV11" i="38"/>
  <c r="AU11" i="38"/>
  <c r="AT11" i="38"/>
  <c r="AS11" i="38"/>
  <c r="AR11" i="38"/>
  <c r="AQ11" i="38"/>
  <c r="AP11" i="38"/>
  <c r="AO11" i="38"/>
  <c r="AN11" i="38"/>
  <c r="BT10" i="38"/>
  <c r="BS10" i="38"/>
  <c r="BR10" i="38"/>
  <c r="BQ10" i="38"/>
  <c r="BP10" i="38"/>
  <c r="BO10" i="38"/>
  <c r="BN10" i="38"/>
  <c r="BM10" i="38"/>
  <c r="BL10" i="38"/>
  <c r="BK10" i="38"/>
  <c r="BJ10" i="38"/>
  <c r="BI10" i="38"/>
  <c r="BH10" i="38"/>
  <c r="BG10" i="38"/>
  <c r="BF10" i="38"/>
  <c r="BB10" i="38"/>
  <c r="BA10" i="38"/>
  <c r="AZ10" i="38"/>
  <c r="AY10" i="38"/>
  <c r="AX10" i="38"/>
  <c r="AW10" i="38"/>
  <c r="AV10" i="38"/>
  <c r="AU10" i="38"/>
  <c r="AT10" i="38"/>
  <c r="AS10" i="38"/>
  <c r="AR10" i="38"/>
  <c r="AQ10" i="38"/>
  <c r="AP10" i="38"/>
  <c r="AO10" i="38"/>
  <c r="AN10" i="38"/>
  <c r="BT9" i="38"/>
  <c r="BS9" i="38"/>
  <c r="BR9" i="38"/>
  <c r="BQ9" i="38"/>
  <c r="BP9" i="38"/>
  <c r="BO9" i="38"/>
  <c r="BN9" i="38"/>
  <c r="BM9" i="38"/>
  <c r="BL9" i="38"/>
  <c r="BK9" i="38"/>
  <c r="BJ9" i="38"/>
  <c r="BI9" i="38"/>
  <c r="BH9" i="38"/>
  <c r="BG9" i="38"/>
  <c r="BF9" i="38"/>
  <c r="BB9" i="38"/>
  <c r="BA9" i="38"/>
  <c r="AZ9" i="38"/>
  <c r="AY9" i="38"/>
  <c r="AX9" i="38"/>
  <c r="AW9" i="38"/>
  <c r="AV9" i="38"/>
  <c r="AU9" i="38"/>
  <c r="AT9" i="38"/>
  <c r="AS9" i="38"/>
  <c r="AR9" i="38"/>
  <c r="AQ9" i="38"/>
  <c r="AP9" i="38"/>
  <c r="AO9" i="38"/>
  <c r="AN9" i="38"/>
  <c r="BT8" i="38"/>
  <c r="BS8" i="38"/>
  <c r="BR8" i="38"/>
  <c r="BQ8" i="38"/>
  <c r="BP8" i="38"/>
  <c r="BO8" i="38"/>
  <c r="BN8" i="38"/>
  <c r="BM8" i="38"/>
  <c r="BL8" i="38"/>
  <c r="BK8" i="38"/>
  <c r="BJ8" i="38"/>
  <c r="BI8" i="38"/>
  <c r="BH8" i="38"/>
  <c r="BG8" i="38"/>
  <c r="BF8" i="38"/>
  <c r="BB8" i="38"/>
  <c r="BA8" i="38"/>
  <c r="AZ8" i="38"/>
  <c r="AY8" i="38"/>
  <c r="AX8" i="38"/>
  <c r="AW8" i="38"/>
  <c r="AV8" i="38"/>
  <c r="AU8" i="38"/>
  <c r="AT8" i="38"/>
  <c r="AS8" i="38"/>
  <c r="AR8" i="38"/>
  <c r="AQ8" i="38"/>
  <c r="AP8" i="38"/>
  <c r="AO8" i="38"/>
  <c r="AN8" i="38"/>
  <c r="BT7" i="38"/>
  <c r="BS7" i="38"/>
  <c r="BR7" i="38"/>
  <c r="BQ7" i="38"/>
  <c r="BP7" i="38"/>
  <c r="BO7" i="38"/>
  <c r="BN7" i="38"/>
  <c r="BM7" i="38"/>
  <c r="BL7" i="38"/>
  <c r="BK7" i="38"/>
  <c r="BJ7" i="38"/>
  <c r="BI7" i="38"/>
  <c r="BH7" i="38"/>
  <c r="BG7" i="38"/>
  <c r="BF7" i="38"/>
  <c r="BB7" i="38"/>
  <c r="BA7" i="38"/>
  <c r="AZ7" i="38"/>
  <c r="AY7" i="38"/>
  <c r="AX7" i="38"/>
  <c r="AW7" i="38"/>
  <c r="AV7" i="38"/>
  <c r="AU7" i="38"/>
  <c r="AT7" i="38"/>
  <c r="AS7" i="38"/>
  <c r="AR7" i="38"/>
  <c r="AQ7" i="38"/>
  <c r="AP7" i="38"/>
  <c r="AO7" i="38"/>
  <c r="AN7" i="38"/>
  <c r="BT6" i="38"/>
  <c r="BS6" i="38"/>
  <c r="BR6" i="38"/>
  <c r="BQ6" i="38"/>
  <c r="BP6" i="38"/>
  <c r="BO6" i="38"/>
  <c r="BN6" i="38"/>
  <c r="BM6" i="38"/>
  <c r="BL6" i="38"/>
  <c r="BK6" i="38"/>
  <c r="BJ6" i="38"/>
  <c r="BI6" i="38"/>
  <c r="BH6" i="38"/>
  <c r="BG6" i="38"/>
  <c r="BF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AO6" i="38"/>
  <c r="AN6" i="38"/>
  <c r="BT5" i="38"/>
  <c r="BS5" i="38"/>
  <c r="BR5" i="38"/>
  <c r="BQ5" i="38"/>
  <c r="BP5" i="38"/>
  <c r="BO5" i="38"/>
  <c r="BN5" i="38"/>
  <c r="BM5" i="38"/>
  <c r="BL5" i="38"/>
  <c r="BK5" i="38"/>
  <c r="BJ5" i="38"/>
  <c r="BI5" i="38"/>
  <c r="BH5" i="38"/>
  <c r="BG5" i="38"/>
  <c r="BF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AO5" i="38"/>
  <c r="AN5" i="38"/>
  <c r="BT4" i="38"/>
  <c r="BS4" i="38"/>
  <c r="BR4" i="38"/>
  <c r="BQ4" i="38"/>
  <c r="BP4" i="38"/>
  <c r="BO4" i="38"/>
  <c r="BN4" i="38"/>
  <c r="BM4" i="38"/>
  <c r="BL4" i="38"/>
  <c r="BK4" i="38"/>
  <c r="BJ4" i="38"/>
  <c r="BI4" i="38"/>
  <c r="BH4" i="38"/>
  <c r="BG4" i="38"/>
  <c r="BF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AO4" i="38"/>
  <c r="AN4" i="38"/>
  <c r="BT32" i="37"/>
  <c r="BS32" i="37"/>
  <c r="BR32" i="37"/>
  <c r="BQ32" i="37"/>
  <c r="BP32" i="37"/>
  <c r="BO32" i="37"/>
  <c r="BN32" i="37"/>
  <c r="BM32" i="37"/>
  <c r="BL32" i="37"/>
  <c r="BK32" i="37"/>
  <c r="BJ32" i="37"/>
  <c r="BI32" i="37"/>
  <c r="BH32" i="37"/>
  <c r="BG32" i="37"/>
  <c r="BF32" i="37"/>
  <c r="BB32" i="37"/>
  <c r="BA32" i="37"/>
  <c r="AZ32" i="37"/>
  <c r="AY32" i="37"/>
  <c r="AX32" i="37"/>
  <c r="AW32" i="37"/>
  <c r="AV32" i="37"/>
  <c r="AU32" i="37"/>
  <c r="AT32" i="37"/>
  <c r="AS32" i="37"/>
  <c r="AR32" i="37"/>
  <c r="AQ32" i="37"/>
  <c r="AP32" i="37"/>
  <c r="AO32" i="37"/>
  <c r="AN32" i="37"/>
  <c r="BT31" i="37"/>
  <c r="BS31" i="37"/>
  <c r="BR31" i="37"/>
  <c r="BQ31" i="37"/>
  <c r="BP31" i="37"/>
  <c r="BO31" i="37"/>
  <c r="BN31" i="37"/>
  <c r="BM31" i="37"/>
  <c r="BL31" i="37"/>
  <c r="BK31" i="37"/>
  <c r="BJ31" i="37"/>
  <c r="BI31" i="37"/>
  <c r="BH31" i="37"/>
  <c r="BG31" i="37"/>
  <c r="BF31" i="37"/>
  <c r="BB31" i="37"/>
  <c r="BA31" i="37"/>
  <c r="AZ31" i="37"/>
  <c r="AY31" i="37"/>
  <c r="AX31" i="37"/>
  <c r="AW31" i="37"/>
  <c r="AV31" i="37"/>
  <c r="AU31" i="37"/>
  <c r="AT31" i="37"/>
  <c r="AS31" i="37"/>
  <c r="AR31" i="37"/>
  <c r="AQ31" i="37"/>
  <c r="AP31" i="37"/>
  <c r="AO31" i="37"/>
  <c r="AN31" i="37"/>
  <c r="BT30" i="37"/>
  <c r="BS30" i="37"/>
  <c r="BR30" i="37"/>
  <c r="BQ30" i="37"/>
  <c r="BP30" i="37"/>
  <c r="BO30" i="37"/>
  <c r="BN30" i="37"/>
  <c r="BM30" i="37"/>
  <c r="BL30" i="37"/>
  <c r="BK30" i="37"/>
  <c r="BJ30" i="37"/>
  <c r="BI30" i="37"/>
  <c r="BH30" i="37"/>
  <c r="BG30" i="37"/>
  <c r="BF30" i="37"/>
  <c r="BB30" i="37"/>
  <c r="BA30" i="37"/>
  <c r="AZ30" i="37"/>
  <c r="AY30" i="37"/>
  <c r="AX30" i="37"/>
  <c r="AW30" i="37"/>
  <c r="AV30" i="37"/>
  <c r="AU30" i="37"/>
  <c r="AT30" i="37"/>
  <c r="AS30" i="37"/>
  <c r="AR30" i="37"/>
  <c r="AQ30" i="37"/>
  <c r="AP30" i="37"/>
  <c r="AO30" i="37"/>
  <c r="AN30" i="37"/>
  <c r="BT29" i="37"/>
  <c r="BS29" i="37"/>
  <c r="BR29" i="37"/>
  <c r="BQ29" i="37"/>
  <c r="BP29" i="37"/>
  <c r="BO29" i="37"/>
  <c r="BN29" i="37"/>
  <c r="BM29" i="37"/>
  <c r="BL29" i="37"/>
  <c r="BK29" i="37"/>
  <c r="BJ29" i="37"/>
  <c r="BI29" i="37"/>
  <c r="BH29" i="37"/>
  <c r="BG29" i="37"/>
  <c r="BF29" i="37"/>
  <c r="BB29" i="37"/>
  <c r="BA29" i="37"/>
  <c r="AZ29" i="37"/>
  <c r="AY29" i="37"/>
  <c r="AX29" i="37"/>
  <c r="AW29" i="37"/>
  <c r="AV29" i="37"/>
  <c r="AU29" i="37"/>
  <c r="AT29" i="37"/>
  <c r="AS29" i="37"/>
  <c r="AR29" i="37"/>
  <c r="AQ29" i="37"/>
  <c r="AP29" i="37"/>
  <c r="AO29" i="37"/>
  <c r="AN29" i="37"/>
  <c r="BT28" i="37"/>
  <c r="BS28" i="37"/>
  <c r="BR28" i="37"/>
  <c r="BQ28" i="37"/>
  <c r="BP28" i="37"/>
  <c r="BO28" i="37"/>
  <c r="BN28" i="37"/>
  <c r="BM28" i="37"/>
  <c r="BL28" i="37"/>
  <c r="BK28" i="37"/>
  <c r="BJ28" i="37"/>
  <c r="BI28" i="37"/>
  <c r="BH28" i="37"/>
  <c r="BG28" i="37"/>
  <c r="BF28" i="37"/>
  <c r="BB28" i="37"/>
  <c r="BA28" i="37"/>
  <c r="AZ28" i="37"/>
  <c r="AY28" i="37"/>
  <c r="AX28" i="37"/>
  <c r="AW28" i="37"/>
  <c r="AV28" i="37"/>
  <c r="AU28" i="37"/>
  <c r="AT28" i="37"/>
  <c r="AS28" i="37"/>
  <c r="AR28" i="37"/>
  <c r="AQ28" i="37"/>
  <c r="AP28" i="37"/>
  <c r="AO28" i="37"/>
  <c r="AN28" i="37"/>
  <c r="BT27" i="37"/>
  <c r="BS27" i="37"/>
  <c r="BR27" i="37"/>
  <c r="BQ27" i="37"/>
  <c r="BP27" i="37"/>
  <c r="BO27" i="37"/>
  <c r="BN27" i="37"/>
  <c r="BM27" i="37"/>
  <c r="BL27" i="37"/>
  <c r="BK27" i="37"/>
  <c r="BJ27" i="37"/>
  <c r="BI27" i="37"/>
  <c r="BH27" i="37"/>
  <c r="BG27" i="37"/>
  <c r="BF27" i="37"/>
  <c r="BB27" i="37"/>
  <c r="BA27" i="37"/>
  <c r="AZ27" i="37"/>
  <c r="AY27" i="37"/>
  <c r="AX27" i="37"/>
  <c r="AW27" i="37"/>
  <c r="AV27" i="37"/>
  <c r="AU27" i="37"/>
  <c r="AT27" i="37"/>
  <c r="AS27" i="37"/>
  <c r="AR27" i="37"/>
  <c r="AQ27" i="37"/>
  <c r="AP27" i="37"/>
  <c r="AO27" i="37"/>
  <c r="AN27" i="37"/>
  <c r="BT26" i="37"/>
  <c r="BS26" i="37"/>
  <c r="BR26" i="37"/>
  <c r="BQ26" i="37"/>
  <c r="BP26" i="37"/>
  <c r="BO26" i="37"/>
  <c r="BN26" i="37"/>
  <c r="BM26" i="37"/>
  <c r="BL26" i="37"/>
  <c r="BK26" i="37"/>
  <c r="BJ26" i="37"/>
  <c r="BI26" i="37"/>
  <c r="BH26" i="37"/>
  <c r="BG26" i="37"/>
  <c r="BF26" i="37"/>
  <c r="BB26" i="37"/>
  <c r="BA26" i="37"/>
  <c r="AZ26" i="37"/>
  <c r="AY26" i="37"/>
  <c r="AX26" i="37"/>
  <c r="AW26" i="37"/>
  <c r="AV26" i="37"/>
  <c r="AU26" i="37"/>
  <c r="AT26" i="37"/>
  <c r="AS26" i="37"/>
  <c r="AR26" i="37"/>
  <c r="AQ26" i="37"/>
  <c r="AP26" i="37"/>
  <c r="AO26" i="37"/>
  <c r="AN26" i="37"/>
  <c r="BT25" i="37"/>
  <c r="BS25" i="37"/>
  <c r="BR25" i="37"/>
  <c r="BQ25" i="37"/>
  <c r="BP25" i="37"/>
  <c r="BO25" i="37"/>
  <c r="BN25" i="37"/>
  <c r="BM25" i="37"/>
  <c r="BL25" i="37"/>
  <c r="BK25" i="37"/>
  <c r="BJ25" i="37"/>
  <c r="BI25" i="37"/>
  <c r="BH25" i="37"/>
  <c r="BG25" i="37"/>
  <c r="BF25" i="37"/>
  <c r="BB25" i="37"/>
  <c r="BA25" i="37"/>
  <c r="AZ25" i="37"/>
  <c r="AY25" i="37"/>
  <c r="AX25" i="37"/>
  <c r="AW25" i="37"/>
  <c r="AV25" i="37"/>
  <c r="AU25" i="37"/>
  <c r="AT25" i="37"/>
  <c r="AS25" i="37"/>
  <c r="AR25" i="37"/>
  <c r="AQ25" i="37"/>
  <c r="AP25" i="37"/>
  <c r="AO25" i="37"/>
  <c r="AN25" i="37"/>
  <c r="BT24" i="37"/>
  <c r="BS24" i="37"/>
  <c r="BR24" i="37"/>
  <c r="BQ24" i="37"/>
  <c r="BP24" i="37"/>
  <c r="BO24" i="37"/>
  <c r="BN24" i="37"/>
  <c r="BM24" i="37"/>
  <c r="BL24" i="37"/>
  <c r="BK24" i="37"/>
  <c r="BJ24" i="37"/>
  <c r="BI24" i="37"/>
  <c r="BH24" i="37"/>
  <c r="BG24" i="37"/>
  <c r="BF24" i="37"/>
  <c r="BB24" i="37"/>
  <c r="BA24" i="37"/>
  <c r="AZ24" i="37"/>
  <c r="AY24" i="37"/>
  <c r="AX24" i="37"/>
  <c r="AW24" i="37"/>
  <c r="AV24" i="37"/>
  <c r="AU24" i="37"/>
  <c r="AT24" i="37"/>
  <c r="AS24" i="37"/>
  <c r="AR24" i="37"/>
  <c r="AQ24" i="37"/>
  <c r="AP24" i="37"/>
  <c r="AO24" i="37"/>
  <c r="AN24" i="37"/>
  <c r="BT23" i="37"/>
  <c r="BS23" i="37"/>
  <c r="BR23" i="37"/>
  <c r="BQ23" i="37"/>
  <c r="BP23" i="37"/>
  <c r="BO23" i="37"/>
  <c r="BN23" i="37"/>
  <c r="BM23" i="37"/>
  <c r="BL23" i="37"/>
  <c r="BK23" i="37"/>
  <c r="BJ23" i="37"/>
  <c r="BI23" i="37"/>
  <c r="BH23" i="37"/>
  <c r="BG23" i="37"/>
  <c r="BF23" i="37"/>
  <c r="BB23" i="37"/>
  <c r="BA23" i="37"/>
  <c r="AZ23" i="37"/>
  <c r="AY23" i="37"/>
  <c r="AX23" i="37"/>
  <c r="AW23" i="37"/>
  <c r="AV23" i="37"/>
  <c r="AU23" i="37"/>
  <c r="AT23" i="37"/>
  <c r="AS23" i="37"/>
  <c r="AR23" i="37"/>
  <c r="AQ23" i="37"/>
  <c r="AP23" i="37"/>
  <c r="AO23" i="37"/>
  <c r="AN23" i="37"/>
  <c r="BT22" i="37"/>
  <c r="BS22" i="37"/>
  <c r="BR22" i="37"/>
  <c r="BQ22" i="37"/>
  <c r="BP22" i="37"/>
  <c r="BO22" i="37"/>
  <c r="BN22" i="37"/>
  <c r="BM22" i="37"/>
  <c r="BL22" i="37"/>
  <c r="BK22" i="37"/>
  <c r="BJ22" i="37"/>
  <c r="BI22" i="37"/>
  <c r="BH22" i="37"/>
  <c r="BG22" i="37"/>
  <c r="BF22" i="37"/>
  <c r="BB22" i="37"/>
  <c r="BA22" i="37"/>
  <c r="AZ22" i="37"/>
  <c r="AY22" i="37"/>
  <c r="AX22" i="37"/>
  <c r="AW22" i="37"/>
  <c r="AV22" i="37"/>
  <c r="AU22" i="37"/>
  <c r="AT22" i="37"/>
  <c r="AS22" i="37"/>
  <c r="AR22" i="37"/>
  <c r="AQ22" i="37"/>
  <c r="AP22" i="37"/>
  <c r="AO22" i="37"/>
  <c r="AN22" i="37"/>
  <c r="BT21" i="37"/>
  <c r="BS21" i="37"/>
  <c r="BR21" i="37"/>
  <c r="BQ21" i="37"/>
  <c r="BP21" i="37"/>
  <c r="BO21" i="37"/>
  <c r="BN21" i="37"/>
  <c r="BM21" i="37"/>
  <c r="BL21" i="37"/>
  <c r="BK21" i="37"/>
  <c r="BJ21" i="37"/>
  <c r="BI21" i="37"/>
  <c r="BH21" i="37"/>
  <c r="BG21" i="37"/>
  <c r="BF21" i="37"/>
  <c r="BB21" i="37"/>
  <c r="BA21" i="37"/>
  <c r="AZ21" i="37"/>
  <c r="AY21" i="37"/>
  <c r="AX21" i="37"/>
  <c r="AW21" i="37"/>
  <c r="AV21" i="37"/>
  <c r="AU21" i="37"/>
  <c r="AT21" i="37"/>
  <c r="AS21" i="37"/>
  <c r="AR21" i="37"/>
  <c r="AQ21" i="37"/>
  <c r="AP21" i="37"/>
  <c r="AO21" i="37"/>
  <c r="AN21" i="37"/>
  <c r="BT15" i="37"/>
  <c r="BS15" i="37"/>
  <c r="BR15" i="37"/>
  <c r="BQ15" i="37"/>
  <c r="BP15" i="37"/>
  <c r="BO15" i="37"/>
  <c r="BN15" i="37"/>
  <c r="BM15" i="37"/>
  <c r="BL15" i="37"/>
  <c r="BK15" i="37"/>
  <c r="BJ15" i="37"/>
  <c r="BI15" i="37"/>
  <c r="BH15" i="37"/>
  <c r="BG15" i="37"/>
  <c r="BF15" i="37"/>
  <c r="BB15" i="37"/>
  <c r="BA15" i="37"/>
  <c r="AZ15" i="37"/>
  <c r="AY15" i="37"/>
  <c r="AX15" i="37"/>
  <c r="AW15" i="37"/>
  <c r="AV15" i="37"/>
  <c r="AU15" i="37"/>
  <c r="AT15" i="37"/>
  <c r="AS15" i="37"/>
  <c r="AR15" i="37"/>
  <c r="AQ15" i="37"/>
  <c r="AP15" i="37"/>
  <c r="AO15" i="37"/>
  <c r="AN15" i="37"/>
  <c r="BT14" i="37"/>
  <c r="BS14" i="37"/>
  <c r="BR14" i="37"/>
  <c r="BQ14" i="37"/>
  <c r="BP14" i="37"/>
  <c r="BO14" i="37"/>
  <c r="BN14" i="37"/>
  <c r="BM14" i="37"/>
  <c r="BL14" i="37"/>
  <c r="BK14" i="37"/>
  <c r="BJ14" i="37"/>
  <c r="BI14" i="37"/>
  <c r="BH14" i="37"/>
  <c r="BG14" i="37"/>
  <c r="BF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AP14" i="37"/>
  <c r="AO14" i="37"/>
  <c r="AN14" i="37"/>
  <c r="BT13" i="37"/>
  <c r="BS13" i="37"/>
  <c r="BR13" i="37"/>
  <c r="BQ13" i="37"/>
  <c r="BP13" i="37"/>
  <c r="BO13" i="37"/>
  <c r="BN13" i="37"/>
  <c r="BM13" i="37"/>
  <c r="BL13" i="37"/>
  <c r="BK13" i="37"/>
  <c r="BJ13" i="37"/>
  <c r="BI13" i="37"/>
  <c r="BH13" i="37"/>
  <c r="BG13" i="37"/>
  <c r="BF13" i="37"/>
  <c r="BB13" i="37"/>
  <c r="BA13" i="37"/>
  <c r="AZ13" i="37"/>
  <c r="AY13" i="37"/>
  <c r="AX13" i="37"/>
  <c r="AW13" i="37"/>
  <c r="AV13" i="37"/>
  <c r="AU13" i="37"/>
  <c r="AT13" i="37"/>
  <c r="AS13" i="37"/>
  <c r="AR13" i="37"/>
  <c r="AQ13" i="37"/>
  <c r="AP13" i="37"/>
  <c r="AO13" i="37"/>
  <c r="AN13" i="37"/>
  <c r="BT12" i="37"/>
  <c r="BS12" i="37"/>
  <c r="BR12" i="37"/>
  <c r="BQ12" i="37"/>
  <c r="BP12" i="37"/>
  <c r="BO12" i="37"/>
  <c r="BN12" i="37"/>
  <c r="BM12" i="37"/>
  <c r="BL12" i="37"/>
  <c r="BK12" i="37"/>
  <c r="BJ12" i="37"/>
  <c r="BI12" i="37"/>
  <c r="BH12" i="37"/>
  <c r="BG12" i="37"/>
  <c r="BF12" i="37"/>
  <c r="BB12" i="37"/>
  <c r="BA12" i="37"/>
  <c r="AZ12" i="37"/>
  <c r="AY12" i="37"/>
  <c r="AX12" i="37"/>
  <c r="AW12" i="37"/>
  <c r="AV12" i="37"/>
  <c r="AU12" i="37"/>
  <c r="AT12" i="37"/>
  <c r="AS12" i="37"/>
  <c r="AR12" i="37"/>
  <c r="AQ12" i="37"/>
  <c r="AP12" i="37"/>
  <c r="AO12" i="37"/>
  <c r="AN12" i="37"/>
  <c r="BT11" i="37"/>
  <c r="BS11" i="37"/>
  <c r="BR11" i="37"/>
  <c r="BQ11" i="37"/>
  <c r="BP11" i="37"/>
  <c r="BO11" i="37"/>
  <c r="BN11" i="37"/>
  <c r="BM11" i="37"/>
  <c r="BL11" i="37"/>
  <c r="BK11" i="37"/>
  <c r="BJ11" i="37"/>
  <c r="BI11" i="37"/>
  <c r="BH11" i="37"/>
  <c r="BG11" i="37"/>
  <c r="BF11" i="37"/>
  <c r="BB11" i="37"/>
  <c r="BA11" i="37"/>
  <c r="AZ11" i="37"/>
  <c r="AY11" i="37"/>
  <c r="AX11" i="37"/>
  <c r="AW11" i="37"/>
  <c r="AV11" i="37"/>
  <c r="AU11" i="37"/>
  <c r="AT11" i="37"/>
  <c r="AS11" i="37"/>
  <c r="AR11" i="37"/>
  <c r="AQ11" i="37"/>
  <c r="AP11" i="37"/>
  <c r="AO11" i="37"/>
  <c r="AN11" i="37"/>
  <c r="BT10" i="37"/>
  <c r="BS10" i="37"/>
  <c r="BR10" i="37"/>
  <c r="BQ10" i="37"/>
  <c r="BP10" i="37"/>
  <c r="BO10" i="37"/>
  <c r="BN10" i="37"/>
  <c r="BM10" i="37"/>
  <c r="BL10" i="37"/>
  <c r="BK10" i="37"/>
  <c r="BJ10" i="37"/>
  <c r="BI10" i="37"/>
  <c r="BH10" i="37"/>
  <c r="BG10" i="37"/>
  <c r="BF10" i="37"/>
  <c r="BB10" i="37"/>
  <c r="BA10" i="37"/>
  <c r="AZ10" i="37"/>
  <c r="AY10" i="37"/>
  <c r="AX10" i="37"/>
  <c r="AW10" i="37"/>
  <c r="AV10" i="37"/>
  <c r="AU10" i="37"/>
  <c r="AT10" i="37"/>
  <c r="AS10" i="37"/>
  <c r="AR10" i="37"/>
  <c r="AQ10" i="37"/>
  <c r="AP10" i="37"/>
  <c r="AO10" i="37"/>
  <c r="AN10" i="37"/>
  <c r="BT9" i="37"/>
  <c r="BS9" i="37"/>
  <c r="BR9" i="37"/>
  <c r="BQ9" i="37"/>
  <c r="BP9" i="37"/>
  <c r="BO9" i="37"/>
  <c r="BN9" i="37"/>
  <c r="BM9" i="37"/>
  <c r="BL9" i="37"/>
  <c r="BK9" i="37"/>
  <c r="BJ9" i="37"/>
  <c r="BI9" i="37"/>
  <c r="BH9" i="37"/>
  <c r="BG9" i="37"/>
  <c r="BF9" i="37"/>
  <c r="BB9" i="37"/>
  <c r="BA9" i="37"/>
  <c r="AZ9" i="37"/>
  <c r="AY9" i="37"/>
  <c r="AX9" i="37"/>
  <c r="AW9" i="37"/>
  <c r="AV9" i="37"/>
  <c r="AU9" i="37"/>
  <c r="AT9" i="37"/>
  <c r="AS9" i="37"/>
  <c r="AR9" i="37"/>
  <c r="AQ9" i="37"/>
  <c r="AP9" i="37"/>
  <c r="AO9" i="37"/>
  <c r="AN9" i="37"/>
  <c r="BT8" i="37"/>
  <c r="BS8" i="37"/>
  <c r="BR8" i="37"/>
  <c r="BQ8" i="37"/>
  <c r="BP8" i="37"/>
  <c r="BO8" i="37"/>
  <c r="BN8" i="37"/>
  <c r="BM8" i="37"/>
  <c r="BL8" i="37"/>
  <c r="BK8" i="37"/>
  <c r="BJ8" i="37"/>
  <c r="BI8" i="37"/>
  <c r="BH8" i="37"/>
  <c r="BG8" i="37"/>
  <c r="BF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BT7" i="37"/>
  <c r="BS7" i="37"/>
  <c r="BR7" i="37"/>
  <c r="BQ7" i="37"/>
  <c r="BP7" i="37"/>
  <c r="BO7" i="37"/>
  <c r="BN7" i="37"/>
  <c r="BM7" i="37"/>
  <c r="BL7" i="37"/>
  <c r="BK7" i="37"/>
  <c r="BJ7" i="37"/>
  <c r="BI7" i="37"/>
  <c r="BH7" i="37"/>
  <c r="BG7" i="37"/>
  <c r="BF7" i="37"/>
  <c r="BB7" i="37"/>
  <c r="BA7" i="37"/>
  <c r="AZ7" i="37"/>
  <c r="AY7" i="37"/>
  <c r="AX7" i="37"/>
  <c r="AW7" i="37"/>
  <c r="AV7" i="37"/>
  <c r="AU7" i="37"/>
  <c r="AT7" i="37"/>
  <c r="AS7" i="37"/>
  <c r="AR7" i="37"/>
  <c r="AQ7" i="37"/>
  <c r="AP7" i="37"/>
  <c r="AO7" i="37"/>
  <c r="AN7" i="37"/>
  <c r="BT6" i="37"/>
  <c r="BS6" i="37"/>
  <c r="BR6" i="37"/>
  <c r="BQ6" i="37"/>
  <c r="BP6" i="37"/>
  <c r="BO6" i="37"/>
  <c r="BN6" i="37"/>
  <c r="BM6" i="37"/>
  <c r="BL6" i="37"/>
  <c r="BK6" i="37"/>
  <c r="BJ6" i="37"/>
  <c r="BI6" i="37"/>
  <c r="BH6" i="37"/>
  <c r="BG6" i="37"/>
  <c r="BF6" i="37"/>
  <c r="BB6" i="37"/>
  <c r="BA6" i="37"/>
  <c r="AZ6" i="37"/>
  <c r="AY6" i="37"/>
  <c r="AX6" i="37"/>
  <c r="AW6" i="37"/>
  <c r="AV6" i="37"/>
  <c r="AU6" i="37"/>
  <c r="AT6" i="37"/>
  <c r="AS6" i="37"/>
  <c r="AR6" i="37"/>
  <c r="AQ6" i="37"/>
  <c r="AP6" i="37"/>
  <c r="AO6" i="37"/>
  <c r="AN6" i="37"/>
  <c r="BT5" i="37"/>
  <c r="BS5" i="37"/>
  <c r="BR5" i="37"/>
  <c r="BQ5" i="37"/>
  <c r="BP5" i="37"/>
  <c r="BO5" i="37"/>
  <c r="BN5" i="37"/>
  <c r="BM5" i="37"/>
  <c r="BL5" i="37"/>
  <c r="BK5" i="37"/>
  <c r="BJ5" i="37"/>
  <c r="BI5" i="37"/>
  <c r="BH5" i="37"/>
  <c r="BG5" i="37"/>
  <c r="BF5" i="37"/>
  <c r="BB5" i="37"/>
  <c r="BA5" i="37"/>
  <c r="AZ5" i="37"/>
  <c r="AY5" i="37"/>
  <c r="AX5" i="37"/>
  <c r="AW5" i="37"/>
  <c r="AV5" i="37"/>
  <c r="AU5" i="37"/>
  <c r="AT5" i="37"/>
  <c r="AS5" i="37"/>
  <c r="AR5" i="37"/>
  <c r="AQ5" i="37"/>
  <c r="AP5" i="37"/>
  <c r="AO5" i="37"/>
  <c r="AN5" i="37"/>
  <c r="BT4" i="37"/>
  <c r="BS4" i="37"/>
  <c r="BR4" i="37"/>
  <c r="BQ4" i="37"/>
  <c r="BP4" i="37"/>
  <c r="BO4" i="37"/>
  <c r="BN4" i="37"/>
  <c r="BM4" i="37"/>
  <c r="BL4" i="37"/>
  <c r="BK4" i="37"/>
  <c r="BJ4" i="37"/>
  <c r="BI4" i="37"/>
  <c r="BH4" i="37"/>
  <c r="BG4" i="37"/>
  <c r="BF4" i="37"/>
  <c r="BB4" i="37"/>
  <c r="BA4" i="37"/>
  <c r="AZ4" i="37"/>
  <c r="AY4" i="37"/>
  <c r="AX4" i="37"/>
  <c r="AW4" i="37"/>
  <c r="AV4" i="37"/>
  <c r="AU4" i="37"/>
  <c r="AT4" i="37"/>
  <c r="AS4" i="37"/>
  <c r="AR4" i="37"/>
  <c r="AQ4" i="37"/>
  <c r="AP4" i="37"/>
  <c r="AO4" i="37"/>
  <c r="AN4" i="37"/>
  <c r="BT32" i="36"/>
  <c r="BS32" i="36"/>
  <c r="BR32" i="36"/>
  <c r="BQ32" i="36"/>
  <c r="BP32" i="36"/>
  <c r="BO32" i="36"/>
  <c r="BN32" i="36"/>
  <c r="BM32" i="36"/>
  <c r="BL32" i="36"/>
  <c r="BK32" i="36"/>
  <c r="BJ32" i="36"/>
  <c r="BI32" i="36"/>
  <c r="BH32" i="36"/>
  <c r="BG32" i="36"/>
  <c r="BF32" i="36"/>
  <c r="BB32" i="36"/>
  <c r="BA32" i="36"/>
  <c r="AZ32" i="36"/>
  <c r="AY32" i="36"/>
  <c r="AX32" i="36"/>
  <c r="AW32" i="36"/>
  <c r="AV32" i="36"/>
  <c r="AU32" i="36"/>
  <c r="AT32" i="36"/>
  <c r="AS32" i="36"/>
  <c r="AR32" i="36"/>
  <c r="AQ32" i="36"/>
  <c r="AP32" i="36"/>
  <c r="AO32" i="36"/>
  <c r="AN32" i="36"/>
  <c r="BT31" i="36"/>
  <c r="BS31" i="36"/>
  <c r="BR31" i="36"/>
  <c r="BQ31" i="36"/>
  <c r="BP31" i="36"/>
  <c r="BO31" i="36"/>
  <c r="BN31" i="36"/>
  <c r="BM31" i="36"/>
  <c r="BL31" i="36"/>
  <c r="BK31" i="36"/>
  <c r="BJ31" i="36"/>
  <c r="BI31" i="36"/>
  <c r="BH31" i="36"/>
  <c r="BG31" i="36"/>
  <c r="BF31" i="36"/>
  <c r="BB31" i="36"/>
  <c r="BA31" i="36"/>
  <c r="AZ31" i="36"/>
  <c r="AY31" i="36"/>
  <c r="AX31" i="36"/>
  <c r="AW31" i="36"/>
  <c r="AV31" i="36"/>
  <c r="AU31" i="36"/>
  <c r="AT31" i="36"/>
  <c r="AS31" i="36"/>
  <c r="AR31" i="36"/>
  <c r="AQ31" i="36"/>
  <c r="AP31" i="36"/>
  <c r="AO31" i="36"/>
  <c r="AN31" i="36"/>
  <c r="BT30" i="36"/>
  <c r="BS30" i="36"/>
  <c r="BR30" i="36"/>
  <c r="BQ30" i="36"/>
  <c r="BP30" i="36"/>
  <c r="BO30" i="36"/>
  <c r="BN30" i="36"/>
  <c r="BM30" i="36"/>
  <c r="BL30" i="36"/>
  <c r="BK30" i="36"/>
  <c r="BJ30" i="36"/>
  <c r="BI30" i="36"/>
  <c r="BH30" i="36"/>
  <c r="BG30" i="36"/>
  <c r="BF30" i="36"/>
  <c r="BB30" i="36"/>
  <c r="BA30" i="36"/>
  <c r="AZ30" i="36"/>
  <c r="AY30" i="36"/>
  <c r="AX30" i="36"/>
  <c r="AW30" i="36"/>
  <c r="AV30" i="36"/>
  <c r="AU30" i="36"/>
  <c r="AT30" i="36"/>
  <c r="AS30" i="36"/>
  <c r="AR30" i="36"/>
  <c r="AQ30" i="36"/>
  <c r="AP30" i="36"/>
  <c r="AO30" i="36"/>
  <c r="AN30" i="36"/>
  <c r="BT29" i="36"/>
  <c r="BS29" i="36"/>
  <c r="BR29" i="36"/>
  <c r="BQ29" i="36"/>
  <c r="BP29" i="36"/>
  <c r="BO29" i="36"/>
  <c r="BN29" i="36"/>
  <c r="BM29" i="36"/>
  <c r="BL29" i="36"/>
  <c r="BK29" i="36"/>
  <c r="BJ29" i="36"/>
  <c r="BI29" i="36"/>
  <c r="BH29" i="36"/>
  <c r="BG29" i="36"/>
  <c r="BF29" i="36"/>
  <c r="BB29" i="36"/>
  <c r="BA29" i="36"/>
  <c r="AZ29" i="36"/>
  <c r="AY29" i="36"/>
  <c r="AX29" i="36"/>
  <c r="AW29" i="36"/>
  <c r="AV29" i="36"/>
  <c r="AU29" i="36"/>
  <c r="AT29" i="36"/>
  <c r="AS29" i="36"/>
  <c r="AR29" i="36"/>
  <c r="AQ29" i="36"/>
  <c r="AP29" i="36"/>
  <c r="AO29" i="36"/>
  <c r="AN29" i="36"/>
  <c r="BT28" i="36"/>
  <c r="BS28" i="36"/>
  <c r="BR28" i="36"/>
  <c r="BQ28" i="36"/>
  <c r="BP28" i="36"/>
  <c r="BO28" i="36"/>
  <c r="BN28" i="36"/>
  <c r="BM28" i="36"/>
  <c r="BL28" i="36"/>
  <c r="BK28" i="36"/>
  <c r="BJ28" i="36"/>
  <c r="BI28" i="36"/>
  <c r="BH28" i="36"/>
  <c r="BG28" i="36"/>
  <c r="BF28" i="36"/>
  <c r="BB28" i="36"/>
  <c r="BA28" i="36"/>
  <c r="AZ28" i="36"/>
  <c r="AY28" i="36"/>
  <c r="AX28" i="36"/>
  <c r="AW28" i="36"/>
  <c r="AV28" i="36"/>
  <c r="AU28" i="36"/>
  <c r="AT28" i="36"/>
  <c r="AS28" i="36"/>
  <c r="AR28" i="36"/>
  <c r="AQ28" i="36"/>
  <c r="AP28" i="36"/>
  <c r="AO28" i="36"/>
  <c r="AN28" i="36"/>
  <c r="BT27" i="36"/>
  <c r="BS27" i="36"/>
  <c r="BR27" i="36"/>
  <c r="BQ27" i="36"/>
  <c r="BP27" i="36"/>
  <c r="BO27" i="36"/>
  <c r="BN27" i="36"/>
  <c r="BM27" i="36"/>
  <c r="BL27" i="36"/>
  <c r="BK27" i="36"/>
  <c r="BJ27" i="36"/>
  <c r="BI27" i="36"/>
  <c r="BH27" i="36"/>
  <c r="BG27" i="36"/>
  <c r="BF27" i="36"/>
  <c r="BB27" i="36"/>
  <c r="BA27" i="36"/>
  <c r="AZ27" i="36"/>
  <c r="AY27" i="36"/>
  <c r="AX27" i="36"/>
  <c r="AW27" i="36"/>
  <c r="AV27" i="36"/>
  <c r="AU27" i="36"/>
  <c r="AT27" i="36"/>
  <c r="AS27" i="36"/>
  <c r="AR27" i="36"/>
  <c r="AQ27" i="36"/>
  <c r="AP27" i="36"/>
  <c r="AO27" i="36"/>
  <c r="AN27" i="36"/>
  <c r="BT26" i="36"/>
  <c r="BS26" i="36"/>
  <c r="BR26" i="36"/>
  <c r="BQ26" i="36"/>
  <c r="BP26" i="36"/>
  <c r="BO26" i="36"/>
  <c r="BN26" i="36"/>
  <c r="BM26" i="36"/>
  <c r="BL26" i="36"/>
  <c r="BK26" i="36"/>
  <c r="BJ26" i="36"/>
  <c r="BI26" i="36"/>
  <c r="BH26" i="36"/>
  <c r="BG26" i="36"/>
  <c r="BF26" i="36"/>
  <c r="BB26" i="36"/>
  <c r="BA26" i="36"/>
  <c r="AZ26" i="36"/>
  <c r="AY26" i="36"/>
  <c r="AX26" i="36"/>
  <c r="AW26" i="36"/>
  <c r="AV26" i="36"/>
  <c r="AU26" i="36"/>
  <c r="AT26" i="36"/>
  <c r="AS26" i="36"/>
  <c r="AR26" i="36"/>
  <c r="AQ26" i="36"/>
  <c r="AP26" i="36"/>
  <c r="AO26" i="36"/>
  <c r="AN26" i="36"/>
  <c r="BT25" i="36"/>
  <c r="BS25" i="36"/>
  <c r="BR25" i="36"/>
  <c r="BQ25" i="36"/>
  <c r="BP25" i="36"/>
  <c r="BO25" i="36"/>
  <c r="BN25" i="36"/>
  <c r="BM25" i="36"/>
  <c r="BL25" i="36"/>
  <c r="BK25" i="36"/>
  <c r="BJ25" i="36"/>
  <c r="BI25" i="36"/>
  <c r="BH25" i="36"/>
  <c r="BG25" i="36"/>
  <c r="BF25" i="36"/>
  <c r="BB25" i="36"/>
  <c r="BA25" i="36"/>
  <c r="AZ25" i="36"/>
  <c r="AY25" i="36"/>
  <c r="AX25" i="36"/>
  <c r="AW25" i="36"/>
  <c r="AV25" i="36"/>
  <c r="AU25" i="36"/>
  <c r="AT25" i="36"/>
  <c r="AS25" i="36"/>
  <c r="AR25" i="36"/>
  <c r="AQ25" i="36"/>
  <c r="AP25" i="36"/>
  <c r="AO25" i="36"/>
  <c r="AN25" i="36"/>
  <c r="BT24" i="36"/>
  <c r="BS24" i="36"/>
  <c r="BR24" i="36"/>
  <c r="BQ24" i="36"/>
  <c r="BP24" i="36"/>
  <c r="BO24" i="36"/>
  <c r="BN24" i="36"/>
  <c r="BM24" i="36"/>
  <c r="BL24" i="36"/>
  <c r="BK24" i="36"/>
  <c r="BJ24" i="36"/>
  <c r="BI24" i="36"/>
  <c r="BH24" i="36"/>
  <c r="BG24" i="36"/>
  <c r="BF24" i="36"/>
  <c r="BB24" i="36"/>
  <c r="BA24" i="36"/>
  <c r="AZ24" i="36"/>
  <c r="AY24" i="36"/>
  <c r="AX24" i="36"/>
  <c r="AW24" i="36"/>
  <c r="AV24" i="36"/>
  <c r="AU24" i="36"/>
  <c r="AT24" i="36"/>
  <c r="AS24" i="36"/>
  <c r="AR24" i="36"/>
  <c r="AQ24" i="36"/>
  <c r="AP24" i="36"/>
  <c r="AO24" i="36"/>
  <c r="AN24" i="36"/>
  <c r="BT23" i="36"/>
  <c r="BS23" i="36"/>
  <c r="BR23" i="36"/>
  <c r="BQ23" i="36"/>
  <c r="BP23" i="36"/>
  <c r="BO23" i="36"/>
  <c r="BN23" i="36"/>
  <c r="BM23" i="36"/>
  <c r="BL23" i="36"/>
  <c r="BK23" i="36"/>
  <c r="BJ23" i="36"/>
  <c r="BI23" i="36"/>
  <c r="BH23" i="36"/>
  <c r="BG23" i="36"/>
  <c r="BF23" i="36"/>
  <c r="BB23" i="36"/>
  <c r="BA23" i="36"/>
  <c r="AZ23" i="36"/>
  <c r="AY23" i="36"/>
  <c r="AX23" i="36"/>
  <c r="AW23" i="36"/>
  <c r="AV23" i="36"/>
  <c r="AU23" i="36"/>
  <c r="AT23" i="36"/>
  <c r="AS23" i="36"/>
  <c r="AR23" i="36"/>
  <c r="AQ23" i="36"/>
  <c r="AP23" i="36"/>
  <c r="AO23" i="36"/>
  <c r="AN23" i="36"/>
  <c r="BT22" i="36"/>
  <c r="BS22" i="36"/>
  <c r="BR22" i="36"/>
  <c r="BQ22" i="36"/>
  <c r="BP22" i="36"/>
  <c r="BO22" i="36"/>
  <c r="BN22" i="36"/>
  <c r="BM22" i="36"/>
  <c r="BL22" i="36"/>
  <c r="BK22" i="36"/>
  <c r="BJ22" i="36"/>
  <c r="BI22" i="36"/>
  <c r="BH22" i="36"/>
  <c r="BG22" i="36"/>
  <c r="BF22" i="36"/>
  <c r="BB22" i="36"/>
  <c r="BA22" i="36"/>
  <c r="AZ22" i="36"/>
  <c r="AY22" i="36"/>
  <c r="AX22" i="36"/>
  <c r="AW22" i="36"/>
  <c r="AV22" i="36"/>
  <c r="AU22" i="36"/>
  <c r="AT22" i="36"/>
  <c r="AS22" i="36"/>
  <c r="AR22" i="36"/>
  <c r="AQ22" i="36"/>
  <c r="AP22" i="36"/>
  <c r="AO22" i="36"/>
  <c r="AN22" i="36"/>
  <c r="BT21" i="36"/>
  <c r="BS21" i="36"/>
  <c r="BR21" i="36"/>
  <c r="BQ21" i="36"/>
  <c r="BP21" i="36"/>
  <c r="BO21" i="36"/>
  <c r="BN21" i="36"/>
  <c r="BM21" i="36"/>
  <c r="BL21" i="36"/>
  <c r="BK21" i="36"/>
  <c r="BJ21" i="36"/>
  <c r="BI21" i="36"/>
  <c r="BH21" i="36"/>
  <c r="BG21" i="36"/>
  <c r="BF21" i="36"/>
  <c r="BB21" i="36"/>
  <c r="BA21" i="36"/>
  <c r="AZ21" i="36"/>
  <c r="AY21" i="36"/>
  <c r="AX21" i="36"/>
  <c r="AW21" i="36"/>
  <c r="AV21" i="36"/>
  <c r="AU21" i="36"/>
  <c r="AT21" i="36"/>
  <c r="AS21" i="36"/>
  <c r="AR21" i="36"/>
  <c r="AQ21" i="36"/>
  <c r="AP21" i="36"/>
  <c r="AO21" i="36"/>
  <c r="AN21" i="36"/>
  <c r="BT15" i="36"/>
  <c r="BS15" i="36"/>
  <c r="BR15" i="36"/>
  <c r="BQ15" i="36"/>
  <c r="BP15" i="36"/>
  <c r="BO15" i="36"/>
  <c r="BN15" i="36"/>
  <c r="BM15" i="36"/>
  <c r="BL15" i="36"/>
  <c r="BK15" i="36"/>
  <c r="BJ15" i="36"/>
  <c r="BI15" i="36"/>
  <c r="BH15" i="36"/>
  <c r="BG15" i="36"/>
  <c r="BF15" i="36"/>
  <c r="BB15" i="36"/>
  <c r="BA15" i="36"/>
  <c r="AZ15" i="36"/>
  <c r="AY15" i="36"/>
  <c r="AX15" i="36"/>
  <c r="AW15" i="36"/>
  <c r="AV15" i="36"/>
  <c r="AU15" i="36"/>
  <c r="AT15" i="36"/>
  <c r="AS15" i="36"/>
  <c r="AR15" i="36"/>
  <c r="AQ15" i="36"/>
  <c r="AP15" i="36"/>
  <c r="AO15" i="36"/>
  <c r="AN15" i="36"/>
  <c r="BT14" i="36"/>
  <c r="BS14" i="36"/>
  <c r="BR14" i="36"/>
  <c r="BQ14" i="36"/>
  <c r="BP14" i="36"/>
  <c r="BO14" i="36"/>
  <c r="BN14" i="36"/>
  <c r="BM14" i="36"/>
  <c r="BL14" i="36"/>
  <c r="BK14" i="36"/>
  <c r="BJ14" i="36"/>
  <c r="BI14" i="36"/>
  <c r="BH14" i="36"/>
  <c r="BG14" i="36"/>
  <c r="BF14" i="36"/>
  <c r="BB14" i="36"/>
  <c r="BA14" i="36"/>
  <c r="AZ14" i="36"/>
  <c r="AY14" i="36"/>
  <c r="AX14" i="36"/>
  <c r="AW14" i="36"/>
  <c r="AV14" i="36"/>
  <c r="AU14" i="36"/>
  <c r="AT14" i="36"/>
  <c r="AS14" i="36"/>
  <c r="AR14" i="36"/>
  <c r="AQ14" i="36"/>
  <c r="AP14" i="36"/>
  <c r="AO14" i="36"/>
  <c r="AN14" i="36"/>
  <c r="BT13" i="36"/>
  <c r="BS13" i="36"/>
  <c r="BR13" i="36"/>
  <c r="BQ13" i="36"/>
  <c r="BP13" i="36"/>
  <c r="BO13" i="36"/>
  <c r="BN13" i="36"/>
  <c r="BM13" i="36"/>
  <c r="BL13" i="36"/>
  <c r="BK13" i="36"/>
  <c r="BJ13" i="36"/>
  <c r="BI13" i="36"/>
  <c r="BH13" i="36"/>
  <c r="BG13" i="36"/>
  <c r="BF13" i="36"/>
  <c r="BB13" i="36"/>
  <c r="BA13" i="36"/>
  <c r="AZ13" i="36"/>
  <c r="AY13" i="36"/>
  <c r="AX13" i="36"/>
  <c r="AW13" i="36"/>
  <c r="AV13" i="36"/>
  <c r="AU13" i="36"/>
  <c r="AT13" i="36"/>
  <c r="AS13" i="36"/>
  <c r="AR13" i="36"/>
  <c r="AQ13" i="36"/>
  <c r="AP13" i="36"/>
  <c r="AO13" i="36"/>
  <c r="AN13" i="36"/>
  <c r="BT12" i="36"/>
  <c r="BS12" i="36"/>
  <c r="BR12" i="36"/>
  <c r="BQ12" i="36"/>
  <c r="BP12" i="36"/>
  <c r="BO12" i="36"/>
  <c r="BN12" i="36"/>
  <c r="BM12" i="36"/>
  <c r="BL12" i="36"/>
  <c r="BK12" i="36"/>
  <c r="BJ12" i="36"/>
  <c r="BI12" i="36"/>
  <c r="BH12" i="36"/>
  <c r="BG12" i="36"/>
  <c r="BF12" i="36"/>
  <c r="BB12" i="36"/>
  <c r="BA12" i="36"/>
  <c r="AZ12" i="36"/>
  <c r="AY12" i="36"/>
  <c r="AX12" i="36"/>
  <c r="AW12" i="36"/>
  <c r="AV12" i="36"/>
  <c r="AU12" i="36"/>
  <c r="AT12" i="36"/>
  <c r="AS12" i="36"/>
  <c r="AR12" i="36"/>
  <c r="AQ12" i="36"/>
  <c r="AP12" i="36"/>
  <c r="AO12" i="36"/>
  <c r="AN12" i="36"/>
  <c r="BT11" i="36"/>
  <c r="BS11" i="36"/>
  <c r="BR11" i="36"/>
  <c r="BQ11" i="36"/>
  <c r="BP11" i="36"/>
  <c r="BO11" i="36"/>
  <c r="BN11" i="36"/>
  <c r="BM11" i="36"/>
  <c r="BL11" i="36"/>
  <c r="BK11" i="36"/>
  <c r="BJ11" i="36"/>
  <c r="BI11" i="36"/>
  <c r="BH11" i="36"/>
  <c r="BG11" i="36"/>
  <c r="BF11" i="36"/>
  <c r="BB11" i="36"/>
  <c r="BA11" i="36"/>
  <c r="AZ11" i="36"/>
  <c r="AY11" i="36"/>
  <c r="AX11" i="36"/>
  <c r="AW11" i="36"/>
  <c r="AV11" i="36"/>
  <c r="AU11" i="36"/>
  <c r="AT11" i="36"/>
  <c r="AS11" i="36"/>
  <c r="AR11" i="36"/>
  <c r="AQ11" i="36"/>
  <c r="AP11" i="36"/>
  <c r="AO11" i="36"/>
  <c r="AN11" i="36"/>
  <c r="BT10" i="36"/>
  <c r="BS10" i="36"/>
  <c r="BR10" i="36"/>
  <c r="BQ10" i="36"/>
  <c r="BP10" i="36"/>
  <c r="BO10" i="36"/>
  <c r="BN10" i="36"/>
  <c r="BM10" i="36"/>
  <c r="BL10" i="36"/>
  <c r="BK10" i="36"/>
  <c r="BJ10" i="36"/>
  <c r="BI10" i="36"/>
  <c r="BH10" i="36"/>
  <c r="BG10" i="36"/>
  <c r="BF10" i="36"/>
  <c r="BB10" i="36"/>
  <c r="BA10" i="36"/>
  <c r="AZ10" i="36"/>
  <c r="AY10" i="36"/>
  <c r="AX10" i="36"/>
  <c r="AW10" i="36"/>
  <c r="AV10" i="36"/>
  <c r="AU10" i="36"/>
  <c r="AT10" i="36"/>
  <c r="AS10" i="36"/>
  <c r="AR10" i="36"/>
  <c r="AQ10" i="36"/>
  <c r="AP10" i="36"/>
  <c r="AO10" i="36"/>
  <c r="AN10" i="36"/>
  <c r="BT9" i="36"/>
  <c r="BS9" i="36"/>
  <c r="BR9" i="36"/>
  <c r="BQ9" i="36"/>
  <c r="BP9" i="36"/>
  <c r="BO9" i="36"/>
  <c r="BN9" i="36"/>
  <c r="BM9" i="36"/>
  <c r="BL9" i="36"/>
  <c r="BK9" i="36"/>
  <c r="BJ9" i="36"/>
  <c r="BI9" i="36"/>
  <c r="BH9" i="36"/>
  <c r="BG9" i="36"/>
  <c r="BF9" i="36"/>
  <c r="BB9" i="36"/>
  <c r="BA9" i="36"/>
  <c r="AZ9" i="36"/>
  <c r="AY9" i="36"/>
  <c r="AX9" i="36"/>
  <c r="AW9" i="36"/>
  <c r="AV9" i="36"/>
  <c r="AU9" i="36"/>
  <c r="AT9" i="36"/>
  <c r="AS9" i="36"/>
  <c r="AR9" i="36"/>
  <c r="AQ9" i="36"/>
  <c r="AP9" i="36"/>
  <c r="AO9" i="36"/>
  <c r="AN9" i="36"/>
  <c r="BT8" i="36"/>
  <c r="BS8" i="36"/>
  <c r="BR8" i="36"/>
  <c r="BQ8" i="36"/>
  <c r="BP8" i="36"/>
  <c r="BO8" i="36"/>
  <c r="BN8" i="36"/>
  <c r="BM8" i="36"/>
  <c r="BL8" i="36"/>
  <c r="BK8" i="36"/>
  <c r="BJ8" i="36"/>
  <c r="BI8" i="36"/>
  <c r="BH8" i="36"/>
  <c r="BG8" i="36"/>
  <c r="BF8" i="36"/>
  <c r="BB8" i="36"/>
  <c r="BA8" i="36"/>
  <c r="AZ8" i="36"/>
  <c r="AY8" i="36"/>
  <c r="AX8" i="36"/>
  <c r="AW8" i="36"/>
  <c r="AV8" i="36"/>
  <c r="AU8" i="36"/>
  <c r="AT8" i="36"/>
  <c r="AS8" i="36"/>
  <c r="AR8" i="36"/>
  <c r="AQ8" i="36"/>
  <c r="AP8" i="36"/>
  <c r="AO8" i="36"/>
  <c r="AN8" i="36"/>
  <c r="BT7" i="36"/>
  <c r="BS7" i="36"/>
  <c r="BR7" i="36"/>
  <c r="BQ7" i="36"/>
  <c r="BP7" i="36"/>
  <c r="BO7" i="36"/>
  <c r="BN7" i="36"/>
  <c r="BM7" i="36"/>
  <c r="BL7" i="36"/>
  <c r="BK7" i="36"/>
  <c r="BJ7" i="36"/>
  <c r="BI7" i="36"/>
  <c r="BH7" i="36"/>
  <c r="BG7" i="36"/>
  <c r="BF7" i="36"/>
  <c r="BB7" i="36"/>
  <c r="BA7" i="36"/>
  <c r="AZ7" i="36"/>
  <c r="AY7" i="36"/>
  <c r="AX7" i="36"/>
  <c r="AW7" i="36"/>
  <c r="AV7" i="36"/>
  <c r="AU7" i="36"/>
  <c r="AT7" i="36"/>
  <c r="AS7" i="36"/>
  <c r="AR7" i="36"/>
  <c r="AQ7" i="36"/>
  <c r="AP7" i="36"/>
  <c r="AO7" i="36"/>
  <c r="AN7" i="36"/>
  <c r="BT6" i="36"/>
  <c r="BS6" i="36"/>
  <c r="BR6" i="36"/>
  <c r="BQ6" i="36"/>
  <c r="BP6" i="36"/>
  <c r="BO6" i="36"/>
  <c r="BN6" i="36"/>
  <c r="BM6" i="36"/>
  <c r="BL6" i="36"/>
  <c r="BK6" i="36"/>
  <c r="BJ6" i="36"/>
  <c r="BI6" i="36"/>
  <c r="BH6" i="36"/>
  <c r="BG6" i="36"/>
  <c r="BF6" i="36"/>
  <c r="BB6" i="36"/>
  <c r="BA6" i="36"/>
  <c r="AZ6" i="36"/>
  <c r="AY6" i="36"/>
  <c r="AX6" i="36"/>
  <c r="AW6" i="36"/>
  <c r="AV6" i="36"/>
  <c r="AU6" i="36"/>
  <c r="AT6" i="36"/>
  <c r="AS6" i="36"/>
  <c r="AR6" i="36"/>
  <c r="AQ6" i="36"/>
  <c r="AP6" i="36"/>
  <c r="AO6" i="36"/>
  <c r="AN6" i="36"/>
  <c r="BT5" i="36"/>
  <c r="BS5" i="36"/>
  <c r="BR5" i="36"/>
  <c r="BQ5" i="36"/>
  <c r="BP5" i="36"/>
  <c r="BO5" i="36"/>
  <c r="BN5" i="36"/>
  <c r="BM5" i="36"/>
  <c r="BL5" i="36"/>
  <c r="BK5" i="36"/>
  <c r="BJ5" i="36"/>
  <c r="BI5" i="36"/>
  <c r="BH5" i="36"/>
  <c r="BG5" i="36"/>
  <c r="BF5" i="36"/>
  <c r="BB5" i="36"/>
  <c r="BA5" i="36"/>
  <c r="AZ5" i="36"/>
  <c r="AY5" i="36"/>
  <c r="AX5" i="36"/>
  <c r="AW5" i="36"/>
  <c r="AV5" i="36"/>
  <c r="AU5" i="36"/>
  <c r="AT5" i="36"/>
  <c r="AS5" i="36"/>
  <c r="AR5" i="36"/>
  <c r="AQ5" i="36"/>
  <c r="AP5" i="36"/>
  <c r="AO5" i="36"/>
  <c r="AN5" i="36"/>
  <c r="BT4" i="36"/>
  <c r="BS4" i="36"/>
  <c r="BR4" i="36"/>
  <c r="BQ4" i="36"/>
  <c r="BP4" i="36"/>
  <c r="BO4" i="36"/>
  <c r="BN4" i="36"/>
  <c r="BM4" i="36"/>
  <c r="BL4" i="36"/>
  <c r="BK4" i="36"/>
  <c r="BJ4" i="36"/>
  <c r="BI4" i="36"/>
  <c r="BH4" i="36"/>
  <c r="BG4" i="36"/>
  <c r="BF4" i="36"/>
  <c r="BB4" i="36"/>
  <c r="BA4" i="36"/>
  <c r="AZ4" i="36"/>
  <c r="AY4" i="36"/>
  <c r="AX4" i="36"/>
  <c r="AW4" i="36"/>
  <c r="AV4" i="36"/>
  <c r="AU4" i="36"/>
  <c r="AT4" i="36"/>
  <c r="AS4" i="36"/>
  <c r="AR4" i="36"/>
  <c r="AQ4" i="36"/>
  <c r="AP4" i="36"/>
  <c r="AO4" i="36"/>
  <c r="AN4" i="36"/>
  <c r="BT32" i="35"/>
  <c r="BS32" i="35"/>
  <c r="BR32" i="35"/>
  <c r="BQ32" i="35"/>
  <c r="BP32" i="35"/>
  <c r="BO32" i="35"/>
  <c r="BN32" i="35"/>
  <c r="BM32" i="35"/>
  <c r="BL32" i="35"/>
  <c r="BK32" i="35"/>
  <c r="BJ32" i="35"/>
  <c r="BI32" i="35"/>
  <c r="BH32" i="35"/>
  <c r="BG32" i="35"/>
  <c r="BF32" i="35"/>
  <c r="BB32" i="35"/>
  <c r="BA32" i="35"/>
  <c r="AZ32" i="35"/>
  <c r="AY32" i="35"/>
  <c r="AX32" i="35"/>
  <c r="AW32" i="35"/>
  <c r="AV32" i="35"/>
  <c r="AU32" i="35"/>
  <c r="AT32" i="35"/>
  <c r="AS32" i="35"/>
  <c r="AR32" i="35"/>
  <c r="AQ32" i="35"/>
  <c r="AP32" i="35"/>
  <c r="AO32" i="35"/>
  <c r="AN32" i="35"/>
  <c r="BT31" i="35"/>
  <c r="BS31" i="35"/>
  <c r="BR31" i="35"/>
  <c r="BQ31" i="35"/>
  <c r="BP31" i="35"/>
  <c r="BO31" i="35"/>
  <c r="BN31" i="35"/>
  <c r="BM31" i="35"/>
  <c r="BL31" i="35"/>
  <c r="BK31" i="35"/>
  <c r="BJ31" i="35"/>
  <c r="BI31" i="35"/>
  <c r="BH31" i="35"/>
  <c r="BG31" i="35"/>
  <c r="BF31" i="35"/>
  <c r="BB31" i="35"/>
  <c r="BA31" i="35"/>
  <c r="AZ31" i="35"/>
  <c r="AY31" i="35"/>
  <c r="AX31" i="35"/>
  <c r="AW31" i="35"/>
  <c r="AV31" i="35"/>
  <c r="AU31" i="35"/>
  <c r="AT31" i="35"/>
  <c r="AS31" i="35"/>
  <c r="AR31" i="35"/>
  <c r="AQ31" i="35"/>
  <c r="AP31" i="35"/>
  <c r="AO31" i="35"/>
  <c r="AN31" i="35"/>
  <c r="BT30" i="35"/>
  <c r="BS30" i="35"/>
  <c r="BR30" i="35"/>
  <c r="BQ30" i="35"/>
  <c r="BP30" i="35"/>
  <c r="BO30" i="35"/>
  <c r="BN30" i="35"/>
  <c r="BM30" i="35"/>
  <c r="BL30" i="35"/>
  <c r="BK30" i="35"/>
  <c r="BJ30" i="35"/>
  <c r="BI30" i="35"/>
  <c r="BH30" i="35"/>
  <c r="BG30" i="35"/>
  <c r="BF30" i="35"/>
  <c r="BB30" i="35"/>
  <c r="BA30" i="35"/>
  <c r="AZ30" i="35"/>
  <c r="AY30" i="35"/>
  <c r="AX30" i="35"/>
  <c r="AW30" i="35"/>
  <c r="AV30" i="35"/>
  <c r="AU30" i="35"/>
  <c r="AT30" i="35"/>
  <c r="AS30" i="35"/>
  <c r="AR30" i="35"/>
  <c r="AQ30" i="35"/>
  <c r="AP30" i="35"/>
  <c r="AO30" i="35"/>
  <c r="AN30" i="35"/>
  <c r="BT29" i="35"/>
  <c r="BS29" i="35"/>
  <c r="BR29" i="35"/>
  <c r="BQ29" i="35"/>
  <c r="BP29" i="35"/>
  <c r="BO29" i="35"/>
  <c r="BN29" i="35"/>
  <c r="BM29" i="35"/>
  <c r="BL29" i="35"/>
  <c r="BK29" i="35"/>
  <c r="BJ29" i="35"/>
  <c r="BI29" i="35"/>
  <c r="BH29" i="35"/>
  <c r="BG29" i="35"/>
  <c r="BF29" i="35"/>
  <c r="BB29" i="35"/>
  <c r="BA29" i="35"/>
  <c r="AZ29" i="35"/>
  <c r="AY29" i="35"/>
  <c r="AX29" i="35"/>
  <c r="AW29" i="35"/>
  <c r="AV29" i="35"/>
  <c r="AU29" i="35"/>
  <c r="AT29" i="35"/>
  <c r="AS29" i="35"/>
  <c r="AR29" i="35"/>
  <c r="AQ29" i="35"/>
  <c r="AP29" i="35"/>
  <c r="AO29" i="35"/>
  <c r="AN29" i="35"/>
  <c r="BT28" i="35"/>
  <c r="BS28" i="35"/>
  <c r="BR28" i="35"/>
  <c r="BQ28" i="35"/>
  <c r="BP28" i="35"/>
  <c r="BO28" i="35"/>
  <c r="BN28" i="35"/>
  <c r="BM28" i="35"/>
  <c r="BL28" i="35"/>
  <c r="BK28" i="35"/>
  <c r="BJ28" i="35"/>
  <c r="BI28" i="35"/>
  <c r="BH28" i="35"/>
  <c r="BG28" i="35"/>
  <c r="BF28" i="35"/>
  <c r="BB28" i="35"/>
  <c r="BA28" i="35"/>
  <c r="AZ28" i="35"/>
  <c r="AY28" i="35"/>
  <c r="AX28" i="35"/>
  <c r="AW28" i="35"/>
  <c r="AV28" i="35"/>
  <c r="AU28" i="35"/>
  <c r="AT28" i="35"/>
  <c r="AS28" i="35"/>
  <c r="AR28" i="35"/>
  <c r="AQ28" i="35"/>
  <c r="AP28" i="35"/>
  <c r="AO28" i="35"/>
  <c r="AN28" i="35"/>
  <c r="BT27" i="35"/>
  <c r="BS27" i="35"/>
  <c r="BR27" i="35"/>
  <c r="BQ27" i="35"/>
  <c r="BP27" i="35"/>
  <c r="BO27" i="35"/>
  <c r="BN27" i="35"/>
  <c r="BM27" i="35"/>
  <c r="BL27" i="35"/>
  <c r="BK27" i="35"/>
  <c r="BJ27" i="35"/>
  <c r="BI27" i="35"/>
  <c r="BH27" i="35"/>
  <c r="BG27" i="35"/>
  <c r="BF27" i="35"/>
  <c r="BB27" i="35"/>
  <c r="BA27" i="35"/>
  <c r="AZ27" i="35"/>
  <c r="AY27" i="35"/>
  <c r="AX27" i="35"/>
  <c r="AW27" i="35"/>
  <c r="AV27" i="35"/>
  <c r="AU27" i="35"/>
  <c r="AT27" i="35"/>
  <c r="AS27" i="35"/>
  <c r="AR27" i="35"/>
  <c r="AQ27" i="35"/>
  <c r="AP27" i="35"/>
  <c r="AO27" i="35"/>
  <c r="AN27" i="35"/>
  <c r="BT26" i="35"/>
  <c r="BS26" i="35"/>
  <c r="BR26" i="35"/>
  <c r="BQ26" i="35"/>
  <c r="BP26" i="35"/>
  <c r="BO26" i="35"/>
  <c r="BN26" i="35"/>
  <c r="BM26" i="35"/>
  <c r="BL26" i="35"/>
  <c r="BK26" i="35"/>
  <c r="BJ26" i="35"/>
  <c r="BI26" i="35"/>
  <c r="BH26" i="35"/>
  <c r="BG26" i="35"/>
  <c r="BF26" i="35"/>
  <c r="BB26" i="35"/>
  <c r="BA26" i="35"/>
  <c r="AZ26" i="35"/>
  <c r="AY26" i="35"/>
  <c r="AX26" i="35"/>
  <c r="AW26" i="35"/>
  <c r="AV26" i="35"/>
  <c r="AU26" i="35"/>
  <c r="AT26" i="35"/>
  <c r="AS26" i="35"/>
  <c r="AR26" i="35"/>
  <c r="AQ26" i="35"/>
  <c r="AP26" i="35"/>
  <c r="AO26" i="35"/>
  <c r="AN26" i="35"/>
  <c r="BT25" i="35"/>
  <c r="BS25" i="35"/>
  <c r="BR25" i="35"/>
  <c r="BQ25" i="35"/>
  <c r="BP25" i="35"/>
  <c r="BO25" i="35"/>
  <c r="BN25" i="35"/>
  <c r="BM25" i="35"/>
  <c r="BL25" i="35"/>
  <c r="BK25" i="35"/>
  <c r="BJ25" i="35"/>
  <c r="BI25" i="35"/>
  <c r="BH25" i="35"/>
  <c r="BG25" i="35"/>
  <c r="BF25" i="35"/>
  <c r="BB25" i="35"/>
  <c r="BA25" i="35"/>
  <c r="AZ25" i="35"/>
  <c r="AY25" i="35"/>
  <c r="AX25" i="35"/>
  <c r="AW25" i="35"/>
  <c r="AV25" i="35"/>
  <c r="AU25" i="35"/>
  <c r="AT25" i="35"/>
  <c r="AS25" i="35"/>
  <c r="AR25" i="35"/>
  <c r="AQ25" i="35"/>
  <c r="AP25" i="35"/>
  <c r="AO25" i="35"/>
  <c r="AN25" i="35"/>
  <c r="BT24" i="35"/>
  <c r="BS24" i="35"/>
  <c r="BR24" i="35"/>
  <c r="BQ24" i="35"/>
  <c r="BP24" i="35"/>
  <c r="BO24" i="35"/>
  <c r="BN24" i="35"/>
  <c r="BM24" i="35"/>
  <c r="BL24" i="35"/>
  <c r="BK24" i="35"/>
  <c r="BJ24" i="35"/>
  <c r="BI24" i="35"/>
  <c r="BH24" i="35"/>
  <c r="BG24" i="35"/>
  <c r="BF24" i="35"/>
  <c r="BB24" i="35"/>
  <c r="BA24" i="35"/>
  <c r="AZ24" i="35"/>
  <c r="AY24" i="35"/>
  <c r="AX24" i="35"/>
  <c r="AW24" i="35"/>
  <c r="AV24" i="35"/>
  <c r="AU24" i="35"/>
  <c r="AT24" i="35"/>
  <c r="AS24" i="35"/>
  <c r="AR24" i="35"/>
  <c r="AQ24" i="35"/>
  <c r="AP24" i="35"/>
  <c r="AO24" i="35"/>
  <c r="AN24" i="35"/>
  <c r="BT23" i="35"/>
  <c r="BS23" i="35"/>
  <c r="BR23" i="35"/>
  <c r="BQ23" i="35"/>
  <c r="BP23" i="35"/>
  <c r="BO23" i="35"/>
  <c r="BN23" i="35"/>
  <c r="BM23" i="35"/>
  <c r="BL23" i="35"/>
  <c r="BK23" i="35"/>
  <c r="BJ23" i="35"/>
  <c r="BI23" i="35"/>
  <c r="BH23" i="35"/>
  <c r="BG23" i="35"/>
  <c r="BF23" i="35"/>
  <c r="BB23" i="35"/>
  <c r="BA23" i="35"/>
  <c r="AZ23" i="35"/>
  <c r="AY23" i="35"/>
  <c r="AX23" i="35"/>
  <c r="AW23" i="35"/>
  <c r="AV23" i="35"/>
  <c r="AU23" i="35"/>
  <c r="AT23" i="35"/>
  <c r="AS23" i="35"/>
  <c r="AR23" i="35"/>
  <c r="AQ23" i="35"/>
  <c r="AP23" i="35"/>
  <c r="AO23" i="35"/>
  <c r="AN23" i="35"/>
  <c r="BT22" i="35"/>
  <c r="BS22" i="35"/>
  <c r="BR22" i="35"/>
  <c r="BQ22" i="35"/>
  <c r="BP22" i="35"/>
  <c r="BO22" i="35"/>
  <c r="BN22" i="35"/>
  <c r="BM22" i="35"/>
  <c r="BL22" i="35"/>
  <c r="BK22" i="35"/>
  <c r="BJ22" i="35"/>
  <c r="BI22" i="35"/>
  <c r="BH22" i="35"/>
  <c r="BG22" i="35"/>
  <c r="BF22" i="35"/>
  <c r="BB22" i="35"/>
  <c r="BA22" i="35"/>
  <c r="AZ22" i="35"/>
  <c r="AY22" i="35"/>
  <c r="AX22" i="35"/>
  <c r="AW22" i="35"/>
  <c r="AV22" i="35"/>
  <c r="AU22" i="35"/>
  <c r="AT22" i="35"/>
  <c r="AS22" i="35"/>
  <c r="AR22" i="35"/>
  <c r="AQ22" i="35"/>
  <c r="AP22" i="35"/>
  <c r="AO22" i="35"/>
  <c r="AN22" i="35"/>
  <c r="BT21" i="35"/>
  <c r="BS21" i="35"/>
  <c r="BR21" i="35"/>
  <c r="BQ21" i="35"/>
  <c r="BP21" i="35"/>
  <c r="BO21" i="35"/>
  <c r="BN21" i="35"/>
  <c r="BM21" i="35"/>
  <c r="BL21" i="35"/>
  <c r="BK21" i="35"/>
  <c r="BJ21" i="35"/>
  <c r="BI21" i="35"/>
  <c r="BH21" i="35"/>
  <c r="BG21" i="35"/>
  <c r="BF21" i="35"/>
  <c r="BB21" i="35"/>
  <c r="BA21" i="35"/>
  <c r="AZ21" i="35"/>
  <c r="AY21" i="35"/>
  <c r="AX21" i="35"/>
  <c r="AW21" i="35"/>
  <c r="AV21" i="35"/>
  <c r="AU21" i="35"/>
  <c r="AT21" i="35"/>
  <c r="AS21" i="35"/>
  <c r="AR21" i="35"/>
  <c r="AQ21" i="35"/>
  <c r="AP21" i="35"/>
  <c r="AO21" i="35"/>
  <c r="AN21" i="35"/>
  <c r="BT15" i="35"/>
  <c r="BS15" i="35"/>
  <c r="BR15" i="35"/>
  <c r="BQ15" i="35"/>
  <c r="BP15" i="35"/>
  <c r="BO15" i="35"/>
  <c r="BN15" i="35"/>
  <c r="BM15" i="35"/>
  <c r="BL15" i="35"/>
  <c r="BK15" i="35"/>
  <c r="BJ15" i="35"/>
  <c r="BI15" i="35"/>
  <c r="BH15" i="35"/>
  <c r="BG15" i="35"/>
  <c r="BF15" i="35"/>
  <c r="BB15" i="35"/>
  <c r="BA15" i="35"/>
  <c r="AZ15" i="35"/>
  <c r="AY15" i="35"/>
  <c r="AX15" i="35"/>
  <c r="AW15" i="35"/>
  <c r="AV15" i="35"/>
  <c r="AU15" i="35"/>
  <c r="AT15" i="35"/>
  <c r="AS15" i="35"/>
  <c r="AR15" i="35"/>
  <c r="AQ15" i="35"/>
  <c r="AP15" i="35"/>
  <c r="AO15" i="35"/>
  <c r="AN15" i="35"/>
  <c r="BT14" i="35"/>
  <c r="BS14" i="35"/>
  <c r="BR14" i="35"/>
  <c r="BQ14" i="35"/>
  <c r="BP14" i="35"/>
  <c r="BO14" i="35"/>
  <c r="BN14" i="35"/>
  <c r="BM14" i="35"/>
  <c r="BL14" i="35"/>
  <c r="BK14" i="35"/>
  <c r="BJ14" i="35"/>
  <c r="BI14" i="35"/>
  <c r="BH14" i="35"/>
  <c r="BG14" i="35"/>
  <c r="BF14" i="35"/>
  <c r="BB14" i="35"/>
  <c r="BA14" i="35"/>
  <c r="AZ14" i="35"/>
  <c r="AY14" i="35"/>
  <c r="AX14" i="35"/>
  <c r="AW14" i="35"/>
  <c r="AV14" i="35"/>
  <c r="AU14" i="35"/>
  <c r="AT14" i="35"/>
  <c r="AS14" i="35"/>
  <c r="AR14" i="35"/>
  <c r="AQ14" i="35"/>
  <c r="AP14" i="35"/>
  <c r="AO14" i="35"/>
  <c r="AN14" i="35"/>
  <c r="BT13" i="35"/>
  <c r="BS13" i="35"/>
  <c r="BR13" i="35"/>
  <c r="BQ13" i="35"/>
  <c r="BP13" i="35"/>
  <c r="BO13" i="35"/>
  <c r="BN13" i="35"/>
  <c r="BM13" i="35"/>
  <c r="BL13" i="35"/>
  <c r="BK13" i="35"/>
  <c r="BJ13" i="35"/>
  <c r="BI13" i="35"/>
  <c r="BH13" i="35"/>
  <c r="BG13" i="35"/>
  <c r="BF13" i="35"/>
  <c r="BB13" i="35"/>
  <c r="BA13" i="35"/>
  <c r="AZ13" i="35"/>
  <c r="AY13" i="35"/>
  <c r="AX13" i="35"/>
  <c r="AW13" i="35"/>
  <c r="AV13" i="35"/>
  <c r="AU13" i="35"/>
  <c r="AT13" i="35"/>
  <c r="AS13" i="35"/>
  <c r="AR13" i="35"/>
  <c r="AQ13" i="35"/>
  <c r="AP13" i="35"/>
  <c r="AO13" i="35"/>
  <c r="AN13" i="35"/>
  <c r="BT12" i="35"/>
  <c r="BS12" i="35"/>
  <c r="BR12" i="35"/>
  <c r="BQ12" i="35"/>
  <c r="BP12" i="35"/>
  <c r="BO12" i="35"/>
  <c r="BN12" i="35"/>
  <c r="BM12" i="35"/>
  <c r="BL12" i="35"/>
  <c r="BK12" i="35"/>
  <c r="BJ12" i="35"/>
  <c r="BI12" i="35"/>
  <c r="BH12" i="35"/>
  <c r="BG12" i="35"/>
  <c r="BF12" i="35"/>
  <c r="BB12" i="35"/>
  <c r="BA12" i="35"/>
  <c r="AZ12" i="35"/>
  <c r="AY12" i="35"/>
  <c r="AX12" i="35"/>
  <c r="AW12" i="35"/>
  <c r="AV12" i="35"/>
  <c r="AU12" i="35"/>
  <c r="AT12" i="35"/>
  <c r="AS12" i="35"/>
  <c r="AR12" i="35"/>
  <c r="AQ12" i="35"/>
  <c r="AP12" i="35"/>
  <c r="AO12" i="35"/>
  <c r="AN12" i="35"/>
  <c r="BT11" i="35"/>
  <c r="BS11" i="35"/>
  <c r="BR11" i="35"/>
  <c r="BQ11" i="35"/>
  <c r="BP11" i="35"/>
  <c r="BO11" i="35"/>
  <c r="BN11" i="35"/>
  <c r="BM11" i="35"/>
  <c r="BL11" i="35"/>
  <c r="BK11" i="35"/>
  <c r="BJ11" i="35"/>
  <c r="BI11" i="35"/>
  <c r="BH11" i="35"/>
  <c r="BG11" i="35"/>
  <c r="BF11" i="35"/>
  <c r="BB11" i="35"/>
  <c r="BA11" i="35"/>
  <c r="AZ11" i="35"/>
  <c r="AY11" i="35"/>
  <c r="AX11" i="35"/>
  <c r="AW11" i="35"/>
  <c r="AV11" i="35"/>
  <c r="AU11" i="35"/>
  <c r="AT11" i="35"/>
  <c r="AS11" i="35"/>
  <c r="AR11" i="35"/>
  <c r="AQ11" i="35"/>
  <c r="AP11" i="35"/>
  <c r="AO11" i="35"/>
  <c r="AN11" i="35"/>
  <c r="BT10" i="35"/>
  <c r="BS10" i="35"/>
  <c r="BR10" i="35"/>
  <c r="BQ10" i="35"/>
  <c r="BP10" i="35"/>
  <c r="BO10" i="35"/>
  <c r="BN10" i="35"/>
  <c r="BM10" i="35"/>
  <c r="BL10" i="35"/>
  <c r="BK10" i="35"/>
  <c r="BJ10" i="35"/>
  <c r="BI10" i="35"/>
  <c r="BH10" i="35"/>
  <c r="BG10" i="35"/>
  <c r="BF10" i="35"/>
  <c r="BB10" i="35"/>
  <c r="BA10" i="35"/>
  <c r="AZ10" i="35"/>
  <c r="AY10" i="35"/>
  <c r="AX10" i="35"/>
  <c r="AW10" i="35"/>
  <c r="AV10" i="35"/>
  <c r="AU10" i="35"/>
  <c r="AT10" i="35"/>
  <c r="AS10" i="35"/>
  <c r="AR10" i="35"/>
  <c r="AQ10" i="35"/>
  <c r="AP10" i="35"/>
  <c r="AO10" i="35"/>
  <c r="AN10" i="35"/>
  <c r="BT9" i="35"/>
  <c r="BS9" i="35"/>
  <c r="BR9" i="35"/>
  <c r="BQ9" i="35"/>
  <c r="BP9" i="35"/>
  <c r="BO9" i="35"/>
  <c r="BN9" i="35"/>
  <c r="BM9" i="35"/>
  <c r="BL9" i="35"/>
  <c r="BK9" i="35"/>
  <c r="BJ9" i="35"/>
  <c r="BI9" i="35"/>
  <c r="BH9" i="35"/>
  <c r="BG9" i="35"/>
  <c r="BF9" i="35"/>
  <c r="BB9" i="35"/>
  <c r="BA9" i="35"/>
  <c r="AZ9" i="35"/>
  <c r="AY9" i="35"/>
  <c r="AX9" i="35"/>
  <c r="AW9" i="35"/>
  <c r="AV9" i="35"/>
  <c r="AU9" i="35"/>
  <c r="AT9" i="35"/>
  <c r="AS9" i="35"/>
  <c r="AR9" i="35"/>
  <c r="AQ9" i="35"/>
  <c r="AP9" i="35"/>
  <c r="AO9" i="35"/>
  <c r="AN9" i="35"/>
  <c r="BT8" i="35"/>
  <c r="BS8" i="35"/>
  <c r="BR8" i="35"/>
  <c r="BQ8" i="35"/>
  <c r="BP8" i="35"/>
  <c r="BO8" i="35"/>
  <c r="BN8" i="35"/>
  <c r="BM8" i="35"/>
  <c r="BL8" i="35"/>
  <c r="BK8" i="35"/>
  <c r="BJ8" i="35"/>
  <c r="BI8" i="35"/>
  <c r="BH8" i="35"/>
  <c r="BG8" i="35"/>
  <c r="BF8" i="35"/>
  <c r="BB8" i="35"/>
  <c r="BA8" i="35"/>
  <c r="AZ8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BT7" i="35"/>
  <c r="BS7" i="35"/>
  <c r="BR7" i="35"/>
  <c r="BQ7" i="35"/>
  <c r="BP7" i="35"/>
  <c r="BO7" i="35"/>
  <c r="BN7" i="35"/>
  <c r="BM7" i="35"/>
  <c r="BL7" i="35"/>
  <c r="BK7" i="35"/>
  <c r="BJ7" i="35"/>
  <c r="BI7" i="35"/>
  <c r="BH7" i="35"/>
  <c r="BG7" i="35"/>
  <c r="BF7" i="35"/>
  <c r="BB7" i="35"/>
  <c r="BA7" i="35"/>
  <c r="AZ7" i="35"/>
  <c r="AY7" i="35"/>
  <c r="AX7" i="35"/>
  <c r="AW7" i="35"/>
  <c r="AV7" i="35"/>
  <c r="AU7" i="35"/>
  <c r="AT7" i="35"/>
  <c r="AS7" i="35"/>
  <c r="AR7" i="35"/>
  <c r="AQ7" i="35"/>
  <c r="AP7" i="35"/>
  <c r="AO7" i="35"/>
  <c r="AN7" i="35"/>
  <c r="BT6" i="35"/>
  <c r="BS6" i="35"/>
  <c r="BR6" i="35"/>
  <c r="BQ6" i="35"/>
  <c r="BP6" i="35"/>
  <c r="BO6" i="35"/>
  <c r="BN6" i="35"/>
  <c r="BM6" i="35"/>
  <c r="BL6" i="35"/>
  <c r="BK6" i="35"/>
  <c r="BJ6" i="35"/>
  <c r="BI6" i="35"/>
  <c r="BH6" i="35"/>
  <c r="BG6" i="35"/>
  <c r="BF6" i="35"/>
  <c r="BB6" i="35"/>
  <c r="BA6" i="35"/>
  <c r="AZ6" i="35"/>
  <c r="AY6" i="35"/>
  <c r="AX6" i="35"/>
  <c r="AW6" i="35"/>
  <c r="AV6" i="35"/>
  <c r="AU6" i="35"/>
  <c r="AT6" i="35"/>
  <c r="AS6" i="35"/>
  <c r="AR6" i="35"/>
  <c r="AQ6" i="35"/>
  <c r="AP6" i="35"/>
  <c r="AO6" i="35"/>
  <c r="AN6" i="35"/>
  <c r="BT5" i="35"/>
  <c r="BS5" i="35"/>
  <c r="BR5" i="35"/>
  <c r="BQ5" i="35"/>
  <c r="BP5" i="35"/>
  <c r="BO5" i="35"/>
  <c r="BN5" i="35"/>
  <c r="BM5" i="35"/>
  <c r="BL5" i="35"/>
  <c r="BK5" i="35"/>
  <c r="BJ5" i="35"/>
  <c r="BI5" i="35"/>
  <c r="BH5" i="35"/>
  <c r="BG5" i="35"/>
  <c r="BF5" i="35"/>
  <c r="BB5" i="35"/>
  <c r="BA5" i="35"/>
  <c r="AZ5" i="35"/>
  <c r="AY5" i="35"/>
  <c r="AX5" i="35"/>
  <c r="AW5" i="35"/>
  <c r="AV5" i="35"/>
  <c r="AU5" i="35"/>
  <c r="AT5" i="35"/>
  <c r="AS5" i="35"/>
  <c r="AR5" i="35"/>
  <c r="AQ5" i="35"/>
  <c r="AP5" i="35"/>
  <c r="AO5" i="35"/>
  <c r="AN5" i="35"/>
  <c r="BT4" i="35"/>
  <c r="BS4" i="35"/>
  <c r="BR4" i="35"/>
  <c r="BQ4" i="35"/>
  <c r="BP4" i="35"/>
  <c r="BO4" i="35"/>
  <c r="BN4" i="35"/>
  <c r="BM4" i="35"/>
  <c r="BL4" i="35"/>
  <c r="BK4" i="35"/>
  <c r="BJ4" i="35"/>
  <c r="BI4" i="35"/>
  <c r="BH4" i="35"/>
  <c r="BG4" i="35"/>
  <c r="BF4" i="35"/>
  <c r="BB4" i="35"/>
  <c r="BA4" i="35"/>
  <c r="AZ4" i="35"/>
  <c r="AY4" i="35"/>
  <c r="AX4" i="35"/>
  <c r="AW4" i="35"/>
  <c r="AV4" i="35"/>
  <c r="AU4" i="35"/>
  <c r="AT4" i="35"/>
  <c r="AS4" i="35"/>
  <c r="AR4" i="35"/>
  <c r="AQ4" i="35"/>
  <c r="AP4" i="35"/>
  <c r="AO4" i="35"/>
  <c r="AN4" i="35"/>
  <c r="BT32" i="56"/>
  <c r="BS32" i="56"/>
  <c r="BR32" i="56"/>
  <c r="BQ32" i="56"/>
  <c r="BP32" i="56"/>
  <c r="BO32" i="56"/>
  <c r="BN32" i="56"/>
  <c r="BM32" i="56"/>
  <c r="BL32" i="56"/>
  <c r="BK32" i="56"/>
  <c r="BJ32" i="56"/>
  <c r="BI32" i="56"/>
  <c r="BH32" i="56"/>
  <c r="BG32" i="56"/>
  <c r="BF32" i="56"/>
  <c r="BB32" i="56"/>
  <c r="BA32" i="56"/>
  <c r="AZ32" i="56"/>
  <c r="AY32" i="56"/>
  <c r="AX32" i="56"/>
  <c r="AW32" i="56"/>
  <c r="AV32" i="56"/>
  <c r="AU32" i="56"/>
  <c r="AT32" i="56"/>
  <c r="AS32" i="56"/>
  <c r="AR32" i="56"/>
  <c r="AQ32" i="56"/>
  <c r="AP32" i="56"/>
  <c r="AO32" i="56"/>
  <c r="AN32" i="56"/>
  <c r="BT31" i="56"/>
  <c r="BS31" i="56"/>
  <c r="BR31" i="56"/>
  <c r="BQ31" i="56"/>
  <c r="BP31" i="56"/>
  <c r="BO31" i="56"/>
  <c r="BN31" i="56"/>
  <c r="BM31" i="56"/>
  <c r="BL31" i="56"/>
  <c r="BK31" i="56"/>
  <c r="BJ31" i="56"/>
  <c r="BI31" i="56"/>
  <c r="BH31" i="56"/>
  <c r="BG31" i="56"/>
  <c r="BF31" i="56"/>
  <c r="BB31" i="56"/>
  <c r="BA31" i="56"/>
  <c r="AZ31" i="56"/>
  <c r="AY31" i="56"/>
  <c r="AX31" i="56"/>
  <c r="AW31" i="56"/>
  <c r="AV31" i="56"/>
  <c r="AU31" i="56"/>
  <c r="AT31" i="56"/>
  <c r="AS31" i="56"/>
  <c r="AR31" i="56"/>
  <c r="AQ31" i="56"/>
  <c r="AP31" i="56"/>
  <c r="AO31" i="56"/>
  <c r="AN31" i="56"/>
  <c r="BT30" i="56"/>
  <c r="BS30" i="56"/>
  <c r="BR30" i="56"/>
  <c r="BQ30" i="56"/>
  <c r="BP30" i="56"/>
  <c r="BO30" i="56"/>
  <c r="BN30" i="56"/>
  <c r="BM30" i="56"/>
  <c r="BL30" i="56"/>
  <c r="BK30" i="56"/>
  <c r="BJ30" i="56"/>
  <c r="BI30" i="56"/>
  <c r="BH30" i="56"/>
  <c r="BG30" i="56"/>
  <c r="BF30" i="56"/>
  <c r="BB30" i="56"/>
  <c r="BA30" i="56"/>
  <c r="AZ30" i="56"/>
  <c r="AY30" i="56"/>
  <c r="AX30" i="56"/>
  <c r="AW30" i="56"/>
  <c r="AV30" i="56"/>
  <c r="AU30" i="56"/>
  <c r="AT30" i="56"/>
  <c r="AS30" i="56"/>
  <c r="AR30" i="56"/>
  <c r="AQ30" i="56"/>
  <c r="AP30" i="56"/>
  <c r="AO30" i="56"/>
  <c r="AN30" i="56"/>
  <c r="BT29" i="56"/>
  <c r="BS29" i="56"/>
  <c r="BR29" i="56"/>
  <c r="BQ29" i="56"/>
  <c r="BP29" i="56"/>
  <c r="BO29" i="56"/>
  <c r="BN29" i="56"/>
  <c r="BM29" i="56"/>
  <c r="BL29" i="56"/>
  <c r="BK29" i="56"/>
  <c r="BJ29" i="56"/>
  <c r="BI29" i="56"/>
  <c r="BH29" i="56"/>
  <c r="BG29" i="56"/>
  <c r="BF29" i="56"/>
  <c r="BB29" i="56"/>
  <c r="BA29" i="56"/>
  <c r="AZ29" i="56"/>
  <c r="AY29" i="56"/>
  <c r="AX29" i="56"/>
  <c r="AW29" i="56"/>
  <c r="AV29" i="56"/>
  <c r="AU29" i="56"/>
  <c r="AT29" i="56"/>
  <c r="AS29" i="56"/>
  <c r="AR29" i="56"/>
  <c r="AQ29" i="56"/>
  <c r="AP29" i="56"/>
  <c r="AO29" i="56"/>
  <c r="AN29" i="56"/>
  <c r="BT28" i="56"/>
  <c r="BS28" i="56"/>
  <c r="BR28" i="56"/>
  <c r="BQ28" i="56"/>
  <c r="BP28" i="56"/>
  <c r="BO28" i="56"/>
  <c r="BN28" i="56"/>
  <c r="BM28" i="56"/>
  <c r="BL28" i="56"/>
  <c r="BK28" i="56"/>
  <c r="BJ28" i="56"/>
  <c r="BI28" i="56"/>
  <c r="BH28" i="56"/>
  <c r="BG28" i="56"/>
  <c r="BF28" i="56"/>
  <c r="BB28" i="56"/>
  <c r="BA28" i="56"/>
  <c r="AZ28" i="56"/>
  <c r="AY28" i="56"/>
  <c r="AX28" i="56"/>
  <c r="AW28" i="56"/>
  <c r="AV28" i="56"/>
  <c r="AU28" i="56"/>
  <c r="AT28" i="56"/>
  <c r="AS28" i="56"/>
  <c r="AR28" i="56"/>
  <c r="AQ28" i="56"/>
  <c r="AP28" i="56"/>
  <c r="AO28" i="56"/>
  <c r="AN28" i="56"/>
  <c r="BT27" i="56"/>
  <c r="BS27" i="56"/>
  <c r="BR27" i="56"/>
  <c r="BQ27" i="56"/>
  <c r="BP27" i="56"/>
  <c r="BO27" i="56"/>
  <c r="BN27" i="56"/>
  <c r="BM27" i="56"/>
  <c r="BL27" i="56"/>
  <c r="BK27" i="56"/>
  <c r="BJ27" i="56"/>
  <c r="BI27" i="56"/>
  <c r="BH27" i="56"/>
  <c r="BG27" i="56"/>
  <c r="BF27" i="56"/>
  <c r="BB27" i="56"/>
  <c r="BA27" i="56"/>
  <c r="AZ27" i="56"/>
  <c r="AY27" i="56"/>
  <c r="AX27" i="56"/>
  <c r="AW27" i="56"/>
  <c r="AV27" i="56"/>
  <c r="AU27" i="56"/>
  <c r="AT27" i="56"/>
  <c r="AS27" i="56"/>
  <c r="AR27" i="56"/>
  <c r="AQ27" i="56"/>
  <c r="AP27" i="56"/>
  <c r="AO27" i="56"/>
  <c r="AN27" i="56"/>
  <c r="BT26" i="56"/>
  <c r="BS26" i="56"/>
  <c r="BR26" i="56"/>
  <c r="BQ26" i="56"/>
  <c r="BP26" i="56"/>
  <c r="BO26" i="56"/>
  <c r="BN26" i="56"/>
  <c r="BM26" i="56"/>
  <c r="BL26" i="56"/>
  <c r="BK26" i="56"/>
  <c r="BJ26" i="56"/>
  <c r="BI26" i="56"/>
  <c r="BH26" i="56"/>
  <c r="BG26" i="56"/>
  <c r="BF26" i="56"/>
  <c r="BB26" i="56"/>
  <c r="BA26" i="56"/>
  <c r="AZ26" i="56"/>
  <c r="AY26" i="56"/>
  <c r="AX26" i="56"/>
  <c r="AW26" i="56"/>
  <c r="AV26" i="56"/>
  <c r="AU26" i="56"/>
  <c r="AT26" i="56"/>
  <c r="AS26" i="56"/>
  <c r="AR26" i="56"/>
  <c r="AQ26" i="56"/>
  <c r="AP26" i="56"/>
  <c r="AO26" i="56"/>
  <c r="AN26" i="56"/>
  <c r="BT25" i="56"/>
  <c r="BS25" i="56"/>
  <c r="BR25" i="56"/>
  <c r="BQ25" i="56"/>
  <c r="BP25" i="56"/>
  <c r="BO25" i="56"/>
  <c r="BN25" i="56"/>
  <c r="BM25" i="56"/>
  <c r="BL25" i="56"/>
  <c r="BK25" i="56"/>
  <c r="BJ25" i="56"/>
  <c r="BI25" i="56"/>
  <c r="BH25" i="56"/>
  <c r="BG25" i="56"/>
  <c r="BF25" i="56"/>
  <c r="BB25" i="56"/>
  <c r="BA25" i="56"/>
  <c r="AZ25" i="56"/>
  <c r="AY25" i="56"/>
  <c r="AX25" i="56"/>
  <c r="AW25" i="56"/>
  <c r="AV25" i="56"/>
  <c r="AU25" i="56"/>
  <c r="AT25" i="56"/>
  <c r="AS25" i="56"/>
  <c r="AR25" i="56"/>
  <c r="AQ25" i="56"/>
  <c r="AP25" i="56"/>
  <c r="AO25" i="56"/>
  <c r="AN25" i="56"/>
  <c r="BT24" i="56"/>
  <c r="BS24" i="56"/>
  <c r="BR24" i="56"/>
  <c r="BQ24" i="56"/>
  <c r="BP24" i="56"/>
  <c r="BO24" i="56"/>
  <c r="BN24" i="56"/>
  <c r="BM24" i="56"/>
  <c r="BL24" i="56"/>
  <c r="BK24" i="56"/>
  <c r="BJ24" i="56"/>
  <c r="BI24" i="56"/>
  <c r="BH24" i="56"/>
  <c r="BG24" i="56"/>
  <c r="BF24" i="56"/>
  <c r="BB24" i="56"/>
  <c r="BA24" i="56"/>
  <c r="AZ24" i="56"/>
  <c r="AY24" i="56"/>
  <c r="AX24" i="56"/>
  <c r="AW24" i="56"/>
  <c r="AV24" i="56"/>
  <c r="AU24" i="56"/>
  <c r="AT24" i="56"/>
  <c r="AS24" i="56"/>
  <c r="AR24" i="56"/>
  <c r="AQ24" i="56"/>
  <c r="AP24" i="56"/>
  <c r="AO24" i="56"/>
  <c r="AN24" i="56"/>
  <c r="BT23" i="56"/>
  <c r="BS23" i="56"/>
  <c r="BR23" i="56"/>
  <c r="BQ23" i="56"/>
  <c r="BP23" i="56"/>
  <c r="BO23" i="56"/>
  <c r="BN23" i="56"/>
  <c r="BM23" i="56"/>
  <c r="BL23" i="56"/>
  <c r="BK23" i="56"/>
  <c r="BJ23" i="56"/>
  <c r="BI23" i="56"/>
  <c r="BH23" i="56"/>
  <c r="BG23" i="56"/>
  <c r="BF23" i="56"/>
  <c r="BB23" i="56"/>
  <c r="BA23" i="56"/>
  <c r="AZ23" i="56"/>
  <c r="AY23" i="56"/>
  <c r="AX23" i="56"/>
  <c r="AW23" i="56"/>
  <c r="AV23" i="56"/>
  <c r="AU23" i="56"/>
  <c r="AT23" i="56"/>
  <c r="AS23" i="56"/>
  <c r="AR23" i="56"/>
  <c r="AQ23" i="56"/>
  <c r="AP23" i="56"/>
  <c r="AO23" i="56"/>
  <c r="AN23" i="56"/>
  <c r="BT22" i="56"/>
  <c r="BS22" i="56"/>
  <c r="BR22" i="56"/>
  <c r="BQ22" i="56"/>
  <c r="BP22" i="56"/>
  <c r="BO22" i="56"/>
  <c r="BN22" i="56"/>
  <c r="BM22" i="56"/>
  <c r="BL22" i="56"/>
  <c r="BK22" i="56"/>
  <c r="BJ22" i="56"/>
  <c r="BI22" i="56"/>
  <c r="BH22" i="56"/>
  <c r="BG22" i="56"/>
  <c r="BF22" i="56"/>
  <c r="BB22" i="56"/>
  <c r="BA22" i="56"/>
  <c r="AZ22" i="56"/>
  <c r="AY22" i="56"/>
  <c r="AX22" i="56"/>
  <c r="AW22" i="56"/>
  <c r="AV22" i="56"/>
  <c r="AU22" i="56"/>
  <c r="AT22" i="56"/>
  <c r="AS22" i="56"/>
  <c r="AR22" i="56"/>
  <c r="AQ22" i="56"/>
  <c r="AP22" i="56"/>
  <c r="AO22" i="56"/>
  <c r="AN22" i="56"/>
  <c r="BT21" i="56"/>
  <c r="BS21" i="56"/>
  <c r="BR21" i="56"/>
  <c r="BQ21" i="56"/>
  <c r="BP21" i="56"/>
  <c r="BO21" i="56"/>
  <c r="BN21" i="56"/>
  <c r="BM21" i="56"/>
  <c r="BL21" i="56"/>
  <c r="BK21" i="56"/>
  <c r="BJ21" i="56"/>
  <c r="BI21" i="56"/>
  <c r="BH21" i="56"/>
  <c r="BG21" i="56"/>
  <c r="BF21" i="56"/>
  <c r="BB21" i="56"/>
  <c r="BA21" i="56"/>
  <c r="AZ21" i="56"/>
  <c r="AY21" i="56"/>
  <c r="AX21" i="56"/>
  <c r="AW21" i="56"/>
  <c r="AV21" i="56"/>
  <c r="AU21" i="56"/>
  <c r="AT21" i="56"/>
  <c r="AS21" i="56"/>
  <c r="AR21" i="56"/>
  <c r="AQ21" i="56"/>
  <c r="AP21" i="56"/>
  <c r="AO21" i="56"/>
  <c r="AN21" i="56"/>
  <c r="BT15" i="56"/>
  <c r="BS15" i="56"/>
  <c r="BR15" i="56"/>
  <c r="BQ15" i="56"/>
  <c r="BP15" i="56"/>
  <c r="BO15" i="56"/>
  <c r="BN15" i="56"/>
  <c r="BM15" i="56"/>
  <c r="BL15" i="56"/>
  <c r="BK15" i="56"/>
  <c r="BJ15" i="56"/>
  <c r="BI15" i="56"/>
  <c r="BH15" i="56"/>
  <c r="BG15" i="56"/>
  <c r="BF15" i="56"/>
  <c r="BB15" i="56"/>
  <c r="BA15" i="56"/>
  <c r="AZ15" i="56"/>
  <c r="AY15" i="56"/>
  <c r="AX15" i="56"/>
  <c r="AW15" i="56"/>
  <c r="AV15" i="56"/>
  <c r="AU15" i="56"/>
  <c r="AT15" i="56"/>
  <c r="AS15" i="56"/>
  <c r="AR15" i="56"/>
  <c r="AQ15" i="56"/>
  <c r="AP15" i="56"/>
  <c r="AO15" i="56"/>
  <c r="AN15" i="56"/>
  <c r="BT14" i="56"/>
  <c r="BS14" i="56"/>
  <c r="BR14" i="56"/>
  <c r="BQ14" i="56"/>
  <c r="BP14" i="56"/>
  <c r="BO14" i="56"/>
  <c r="BN14" i="56"/>
  <c r="BM14" i="56"/>
  <c r="BL14" i="56"/>
  <c r="BK14" i="56"/>
  <c r="BJ14" i="56"/>
  <c r="BI14" i="56"/>
  <c r="BH14" i="56"/>
  <c r="BG14" i="56"/>
  <c r="BF14" i="56"/>
  <c r="BB14" i="56"/>
  <c r="BA14" i="56"/>
  <c r="AZ14" i="56"/>
  <c r="AY14" i="56"/>
  <c r="AX14" i="56"/>
  <c r="AW14" i="56"/>
  <c r="AV14" i="56"/>
  <c r="AU14" i="56"/>
  <c r="AT14" i="56"/>
  <c r="AS14" i="56"/>
  <c r="AR14" i="56"/>
  <c r="AQ14" i="56"/>
  <c r="AP14" i="56"/>
  <c r="AO14" i="56"/>
  <c r="AN14" i="56"/>
  <c r="BT13" i="56"/>
  <c r="BS13" i="56"/>
  <c r="BR13" i="56"/>
  <c r="BQ13" i="56"/>
  <c r="BP13" i="56"/>
  <c r="BO13" i="56"/>
  <c r="BN13" i="56"/>
  <c r="BM13" i="56"/>
  <c r="BL13" i="56"/>
  <c r="BK13" i="56"/>
  <c r="BJ13" i="56"/>
  <c r="BI13" i="56"/>
  <c r="BH13" i="56"/>
  <c r="BG13" i="56"/>
  <c r="BF13" i="56"/>
  <c r="BB13" i="56"/>
  <c r="BA13" i="56"/>
  <c r="AZ13" i="56"/>
  <c r="AY13" i="56"/>
  <c r="AX13" i="56"/>
  <c r="AW13" i="56"/>
  <c r="AV13" i="56"/>
  <c r="AU13" i="56"/>
  <c r="AT13" i="56"/>
  <c r="AS13" i="56"/>
  <c r="AR13" i="56"/>
  <c r="AQ13" i="56"/>
  <c r="AP13" i="56"/>
  <c r="AO13" i="56"/>
  <c r="AN13" i="56"/>
  <c r="BT12" i="56"/>
  <c r="BS12" i="56"/>
  <c r="BR12" i="56"/>
  <c r="BQ12" i="56"/>
  <c r="BP12" i="56"/>
  <c r="BO12" i="56"/>
  <c r="BN12" i="56"/>
  <c r="BM12" i="56"/>
  <c r="BL12" i="56"/>
  <c r="BK12" i="56"/>
  <c r="BJ12" i="56"/>
  <c r="BI12" i="56"/>
  <c r="BH12" i="56"/>
  <c r="BG12" i="56"/>
  <c r="BF12" i="56"/>
  <c r="BB12" i="56"/>
  <c r="BA12" i="56"/>
  <c r="AZ12" i="56"/>
  <c r="AY12" i="56"/>
  <c r="AX12" i="56"/>
  <c r="AW12" i="56"/>
  <c r="AV12" i="56"/>
  <c r="AU12" i="56"/>
  <c r="AT12" i="56"/>
  <c r="AS12" i="56"/>
  <c r="AR12" i="56"/>
  <c r="AQ12" i="56"/>
  <c r="AP12" i="56"/>
  <c r="AO12" i="56"/>
  <c r="AN12" i="56"/>
  <c r="BT11" i="56"/>
  <c r="BS11" i="56"/>
  <c r="BR11" i="56"/>
  <c r="BQ11" i="56"/>
  <c r="BP11" i="56"/>
  <c r="BO11" i="56"/>
  <c r="BN11" i="56"/>
  <c r="BM11" i="56"/>
  <c r="BL11" i="56"/>
  <c r="BK11" i="56"/>
  <c r="BJ11" i="56"/>
  <c r="BI11" i="56"/>
  <c r="BH11" i="56"/>
  <c r="BG11" i="56"/>
  <c r="BF11" i="56"/>
  <c r="BB11" i="56"/>
  <c r="BA11" i="56"/>
  <c r="AZ11" i="56"/>
  <c r="AY11" i="56"/>
  <c r="AX11" i="56"/>
  <c r="AW11" i="56"/>
  <c r="AV11" i="56"/>
  <c r="AU11" i="56"/>
  <c r="AT11" i="56"/>
  <c r="AS11" i="56"/>
  <c r="AR11" i="56"/>
  <c r="AQ11" i="56"/>
  <c r="AP11" i="56"/>
  <c r="AO11" i="56"/>
  <c r="AN11" i="56"/>
  <c r="BT10" i="56"/>
  <c r="BS10" i="56"/>
  <c r="BR10" i="56"/>
  <c r="BQ10" i="56"/>
  <c r="BP10" i="56"/>
  <c r="BO10" i="56"/>
  <c r="BN10" i="56"/>
  <c r="BM10" i="56"/>
  <c r="BL10" i="56"/>
  <c r="BK10" i="56"/>
  <c r="BJ10" i="56"/>
  <c r="BI10" i="56"/>
  <c r="BH10" i="56"/>
  <c r="BG10" i="56"/>
  <c r="BF10" i="56"/>
  <c r="BB10" i="56"/>
  <c r="BA10" i="56"/>
  <c r="AZ10" i="56"/>
  <c r="AY10" i="56"/>
  <c r="AX10" i="56"/>
  <c r="AW10" i="56"/>
  <c r="AV10" i="56"/>
  <c r="AU10" i="56"/>
  <c r="AT10" i="56"/>
  <c r="AS10" i="56"/>
  <c r="AR10" i="56"/>
  <c r="AQ10" i="56"/>
  <c r="AP10" i="56"/>
  <c r="AO10" i="56"/>
  <c r="AN10" i="56"/>
  <c r="BT9" i="56"/>
  <c r="BS9" i="56"/>
  <c r="BR9" i="56"/>
  <c r="BQ9" i="56"/>
  <c r="BP9" i="56"/>
  <c r="BO9" i="56"/>
  <c r="BN9" i="56"/>
  <c r="BM9" i="56"/>
  <c r="BL9" i="56"/>
  <c r="BK9" i="56"/>
  <c r="BJ9" i="56"/>
  <c r="BI9" i="56"/>
  <c r="BH9" i="56"/>
  <c r="BG9" i="56"/>
  <c r="BF9" i="56"/>
  <c r="BB9" i="56"/>
  <c r="BA9" i="56"/>
  <c r="AZ9" i="56"/>
  <c r="AY9" i="56"/>
  <c r="AX9" i="56"/>
  <c r="AW9" i="56"/>
  <c r="AV9" i="56"/>
  <c r="AU9" i="56"/>
  <c r="AT9" i="56"/>
  <c r="AS9" i="56"/>
  <c r="AR9" i="56"/>
  <c r="AQ9" i="56"/>
  <c r="AP9" i="56"/>
  <c r="AO9" i="56"/>
  <c r="AN9" i="56"/>
  <c r="BT8" i="56"/>
  <c r="BS8" i="56"/>
  <c r="BR8" i="56"/>
  <c r="BQ8" i="56"/>
  <c r="BP8" i="56"/>
  <c r="BO8" i="56"/>
  <c r="BN8" i="56"/>
  <c r="BM8" i="56"/>
  <c r="BL8" i="56"/>
  <c r="BK8" i="56"/>
  <c r="BJ8" i="56"/>
  <c r="BI8" i="56"/>
  <c r="BH8" i="56"/>
  <c r="BG8" i="56"/>
  <c r="BF8" i="56"/>
  <c r="BB8" i="56"/>
  <c r="BA8" i="56"/>
  <c r="AZ8" i="56"/>
  <c r="AY8" i="56"/>
  <c r="AX8" i="56"/>
  <c r="AW8" i="56"/>
  <c r="AV8" i="56"/>
  <c r="AU8" i="56"/>
  <c r="AT8" i="56"/>
  <c r="AS8" i="56"/>
  <c r="AR8" i="56"/>
  <c r="AQ8" i="56"/>
  <c r="AP8" i="56"/>
  <c r="AO8" i="56"/>
  <c r="AN8" i="56"/>
  <c r="BT7" i="56"/>
  <c r="BS7" i="56"/>
  <c r="BR7" i="56"/>
  <c r="BQ7" i="56"/>
  <c r="BP7" i="56"/>
  <c r="BO7" i="56"/>
  <c r="BN7" i="56"/>
  <c r="BM7" i="56"/>
  <c r="BL7" i="56"/>
  <c r="BK7" i="56"/>
  <c r="BJ7" i="56"/>
  <c r="BI7" i="56"/>
  <c r="BH7" i="56"/>
  <c r="BG7" i="56"/>
  <c r="BF7" i="56"/>
  <c r="BB7" i="56"/>
  <c r="BA7" i="56"/>
  <c r="AZ7" i="56"/>
  <c r="AY7" i="56"/>
  <c r="AX7" i="56"/>
  <c r="AW7" i="56"/>
  <c r="AV7" i="56"/>
  <c r="AU7" i="56"/>
  <c r="AT7" i="56"/>
  <c r="AS7" i="56"/>
  <c r="AR7" i="56"/>
  <c r="AQ7" i="56"/>
  <c r="AP7" i="56"/>
  <c r="AO7" i="56"/>
  <c r="AN7" i="56"/>
  <c r="BT6" i="56"/>
  <c r="BS6" i="56"/>
  <c r="BR6" i="56"/>
  <c r="BQ6" i="56"/>
  <c r="BP6" i="56"/>
  <c r="BO6" i="56"/>
  <c r="BN6" i="56"/>
  <c r="BM6" i="56"/>
  <c r="BL6" i="56"/>
  <c r="BK6" i="56"/>
  <c r="BJ6" i="56"/>
  <c r="BI6" i="56"/>
  <c r="BH6" i="56"/>
  <c r="BG6" i="56"/>
  <c r="BF6" i="56"/>
  <c r="BB6" i="56"/>
  <c r="BA6" i="56"/>
  <c r="AZ6" i="56"/>
  <c r="AY6" i="56"/>
  <c r="AX6" i="56"/>
  <c r="AW6" i="56"/>
  <c r="AV6" i="56"/>
  <c r="AU6" i="56"/>
  <c r="AT6" i="56"/>
  <c r="AS6" i="56"/>
  <c r="AR6" i="56"/>
  <c r="AQ6" i="56"/>
  <c r="AP6" i="56"/>
  <c r="AO6" i="56"/>
  <c r="AN6" i="56"/>
  <c r="BT5" i="56"/>
  <c r="BS5" i="56"/>
  <c r="BR5" i="56"/>
  <c r="BQ5" i="56"/>
  <c r="BP5" i="56"/>
  <c r="BO5" i="56"/>
  <c r="BN5" i="56"/>
  <c r="BM5" i="56"/>
  <c r="BL5" i="56"/>
  <c r="BK5" i="56"/>
  <c r="BJ5" i="56"/>
  <c r="BI5" i="56"/>
  <c r="BH5" i="56"/>
  <c r="BG5" i="56"/>
  <c r="BF5" i="56"/>
  <c r="BB5" i="56"/>
  <c r="BA5" i="56"/>
  <c r="AZ5" i="56"/>
  <c r="AY5" i="56"/>
  <c r="AX5" i="56"/>
  <c r="AW5" i="56"/>
  <c r="AV5" i="56"/>
  <c r="AU5" i="56"/>
  <c r="AT5" i="56"/>
  <c r="AS5" i="56"/>
  <c r="AR5" i="56"/>
  <c r="AQ5" i="56"/>
  <c r="AP5" i="56"/>
  <c r="AO5" i="56"/>
  <c r="AN5" i="56"/>
  <c r="BT4" i="56"/>
  <c r="BS4" i="56"/>
  <c r="BR4" i="56"/>
  <c r="BQ4" i="56"/>
  <c r="BP4" i="56"/>
  <c r="BO4" i="56"/>
  <c r="BN4" i="56"/>
  <c r="BM4" i="56"/>
  <c r="BL4" i="56"/>
  <c r="BK4" i="56"/>
  <c r="BJ4" i="56"/>
  <c r="BI4" i="56"/>
  <c r="BH4" i="56"/>
  <c r="BG4" i="56"/>
  <c r="BF4" i="56"/>
  <c r="BB4" i="56"/>
  <c r="BA4" i="56"/>
  <c r="AZ4" i="56"/>
  <c r="AY4" i="56"/>
  <c r="AY16" i="56" s="1"/>
  <c r="AX4" i="56"/>
  <c r="AW4" i="56"/>
  <c r="AV4" i="56"/>
  <c r="AU4" i="56"/>
  <c r="AU16" i="56" s="1"/>
  <c r="AT4" i="56"/>
  <c r="AS4" i="56"/>
  <c r="AR4" i="56"/>
  <c r="AQ4" i="56"/>
  <c r="AQ16" i="56" s="1"/>
  <c r="AP4" i="56"/>
  <c r="AO4" i="56"/>
  <c r="AN4" i="56"/>
  <c r="BT32" i="34"/>
  <c r="BS32" i="34"/>
  <c r="BR32" i="34"/>
  <c r="BQ32" i="34"/>
  <c r="BP32" i="34"/>
  <c r="BO32" i="34"/>
  <c r="BN32" i="34"/>
  <c r="BM32" i="34"/>
  <c r="BL32" i="34"/>
  <c r="BK32" i="34"/>
  <c r="BJ32" i="34"/>
  <c r="BI32" i="34"/>
  <c r="BH32" i="34"/>
  <c r="BG32" i="34"/>
  <c r="BF32" i="34"/>
  <c r="BB32" i="34"/>
  <c r="BA32" i="34"/>
  <c r="AZ32" i="34"/>
  <c r="AY32" i="34"/>
  <c r="AX32" i="34"/>
  <c r="AW32" i="34"/>
  <c r="AV32" i="34"/>
  <c r="AU32" i="34"/>
  <c r="AT32" i="34"/>
  <c r="AS32" i="34"/>
  <c r="AR32" i="34"/>
  <c r="AQ32" i="34"/>
  <c r="AP32" i="34"/>
  <c r="AO32" i="34"/>
  <c r="AN32" i="34"/>
  <c r="BT31" i="34"/>
  <c r="BS31" i="34"/>
  <c r="BR31" i="34"/>
  <c r="BQ31" i="34"/>
  <c r="BP31" i="34"/>
  <c r="BO31" i="34"/>
  <c r="BN31" i="34"/>
  <c r="BM31" i="34"/>
  <c r="BL31" i="34"/>
  <c r="BK31" i="34"/>
  <c r="BJ31" i="34"/>
  <c r="BI31" i="34"/>
  <c r="BH31" i="34"/>
  <c r="BG31" i="34"/>
  <c r="BF31" i="34"/>
  <c r="BB31" i="34"/>
  <c r="BA31" i="34"/>
  <c r="AZ31" i="34"/>
  <c r="AY31" i="34"/>
  <c r="AX31" i="34"/>
  <c r="AW31" i="34"/>
  <c r="AV31" i="34"/>
  <c r="AU31" i="34"/>
  <c r="AT31" i="34"/>
  <c r="AS31" i="34"/>
  <c r="AR31" i="34"/>
  <c r="AQ31" i="34"/>
  <c r="AP31" i="34"/>
  <c r="AO31" i="34"/>
  <c r="AN31" i="34"/>
  <c r="BT30" i="34"/>
  <c r="BS30" i="34"/>
  <c r="BR30" i="34"/>
  <c r="BQ30" i="34"/>
  <c r="BP30" i="34"/>
  <c r="BO30" i="34"/>
  <c r="BN30" i="34"/>
  <c r="BM30" i="34"/>
  <c r="BL30" i="34"/>
  <c r="BK30" i="34"/>
  <c r="BJ30" i="34"/>
  <c r="BI30" i="34"/>
  <c r="BH30" i="34"/>
  <c r="BG30" i="34"/>
  <c r="BF30" i="34"/>
  <c r="BB30" i="34"/>
  <c r="BA30" i="34"/>
  <c r="AZ30" i="34"/>
  <c r="AY30" i="34"/>
  <c r="AX30" i="34"/>
  <c r="AW30" i="34"/>
  <c r="AV30" i="34"/>
  <c r="AU30" i="34"/>
  <c r="AT30" i="34"/>
  <c r="AS30" i="34"/>
  <c r="AR30" i="34"/>
  <c r="AQ30" i="34"/>
  <c r="AP30" i="34"/>
  <c r="AO30" i="34"/>
  <c r="AN30" i="34"/>
  <c r="BT29" i="34"/>
  <c r="BS29" i="34"/>
  <c r="BR29" i="34"/>
  <c r="BQ29" i="34"/>
  <c r="BP29" i="34"/>
  <c r="BO29" i="34"/>
  <c r="BN29" i="34"/>
  <c r="BM29" i="34"/>
  <c r="BL29" i="34"/>
  <c r="BK29" i="34"/>
  <c r="BJ29" i="34"/>
  <c r="BI29" i="34"/>
  <c r="BH29" i="34"/>
  <c r="BG29" i="34"/>
  <c r="BF29" i="34"/>
  <c r="BB29" i="34"/>
  <c r="BA29" i="34"/>
  <c r="AZ29" i="34"/>
  <c r="AY29" i="34"/>
  <c r="AX29" i="34"/>
  <c r="AW29" i="34"/>
  <c r="AV29" i="34"/>
  <c r="AU29" i="34"/>
  <c r="AT29" i="34"/>
  <c r="AS29" i="34"/>
  <c r="AR29" i="34"/>
  <c r="AQ29" i="34"/>
  <c r="AP29" i="34"/>
  <c r="AO29" i="34"/>
  <c r="AN29" i="34"/>
  <c r="BT28" i="34"/>
  <c r="BS28" i="34"/>
  <c r="BR28" i="34"/>
  <c r="BQ28" i="34"/>
  <c r="BP28" i="34"/>
  <c r="BO28" i="34"/>
  <c r="BN28" i="34"/>
  <c r="BM28" i="34"/>
  <c r="BL28" i="34"/>
  <c r="BK28" i="34"/>
  <c r="BJ28" i="34"/>
  <c r="BI28" i="34"/>
  <c r="BH28" i="34"/>
  <c r="BG28" i="34"/>
  <c r="BF28" i="34"/>
  <c r="BB28" i="34"/>
  <c r="BA28" i="34"/>
  <c r="AZ28" i="34"/>
  <c r="AY28" i="34"/>
  <c r="AX28" i="34"/>
  <c r="AW28" i="34"/>
  <c r="AV28" i="34"/>
  <c r="AU28" i="34"/>
  <c r="AT28" i="34"/>
  <c r="AS28" i="34"/>
  <c r="AR28" i="34"/>
  <c r="AQ28" i="34"/>
  <c r="AP28" i="34"/>
  <c r="AO28" i="34"/>
  <c r="AN28" i="34"/>
  <c r="BT27" i="34"/>
  <c r="BS27" i="34"/>
  <c r="BR27" i="34"/>
  <c r="BQ27" i="34"/>
  <c r="BP27" i="34"/>
  <c r="BO27" i="34"/>
  <c r="BN27" i="34"/>
  <c r="BM27" i="34"/>
  <c r="BL27" i="34"/>
  <c r="BK27" i="34"/>
  <c r="BJ27" i="34"/>
  <c r="BI27" i="34"/>
  <c r="BH27" i="34"/>
  <c r="BG27" i="34"/>
  <c r="BF27" i="34"/>
  <c r="BB27" i="34"/>
  <c r="BA27" i="34"/>
  <c r="AZ27" i="34"/>
  <c r="AY27" i="34"/>
  <c r="AX27" i="34"/>
  <c r="AW27" i="34"/>
  <c r="AV27" i="34"/>
  <c r="AU27" i="34"/>
  <c r="AT27" i="34"/>
  <c r="AS27" i="34"/>
  <c r="AR27" i="34"/>
  <c r="AQ27" i="34"/>
  <c r="AP27" i="34"/>
  <c r="AO27" i="34"/>
  <c r="AN27" i="34"/>
  <c r="BT26" i="34"/>
  <c r="BS26" i="34"/>
  <c r="BR26" i="34"/>
  <c r="BQ26" i="34"/>
  <c r="BP26" i="34"/>
  <c r="BO26" i="34"/>
  <c r="BN26" i="34"/>
  <c r="BM26" i="34"/>
  <c r="BL26" i="34"/>
  <c r="BK26" i="34"/>
  <c r="BJ26" i="34"/>
  <c r="BI26" i="34"/>
  <c r="BH26" i="34"/>
  <c r="BG26" i="34"/>
  <c r="BF26" i="34"/>
  <c r="BB26" i="34"/>
  <c r="BA26" i="34"/>
  <c r="AZ26" i="34"/>
  <c r="AY26" i="34"/>
  <c r="AX26" i="34"/>
  <c r="AW26" i="34"/>
  <c r="AV26" i="34"/>
  <c r="AU26" i="34"/>
  <c r="AT26" i="34"/>
  <c r="AS26" i="34"/>
  <c r="AR26" i="34"/>
  <c r="AQ26" i="34"/>
  <c r="AP26" i="34"/>
  <c r="AO26" i="34"/>
  <c r="AN26" i="34"/>
  <c r="BT25" i="34"/>
  <c r="BS25" i="34"/>
  <c r="BR25" i="34"/>
  <c r="BQ25" i="34"/>
  <c r="BP25" i="34"/>
  <c r="BO25" i="34"/>
  <c r="BN25" i="34"/>
  <c r="BM25" i="34"/>
  <c r="BL25" i="34"/>
  <c r="BK25" i="34"/>
  <c r="BJ25" i="34"/>
  <c r="BI25" i="34"/>
  <c r="BH25" i="34"/>
  <c r="BG25" i="34"/>
  <c r="BF25" i="34"/>
  <c r="BB25" i="34"/>
  <c r="BA25" i="34"/>
  <c r="AZ25" i="34"/>
  <c r="AY25" i="34"/>
  <c r="AX25" i="34"/>
  <c r="AW25" i="34"/>
  <c r="AV25" i="34"/>
  <c r="AU25" i="34"/>
  <c r="AT25" i="34"/>
  <c r="AS25" i="34"/>
  <c r="AR25" i="34"/>
  <c r="AQ25" i="34"/>
  <c r="AP25" i="34"/>
  <c r="AO25" i="34"/>
  <c r="AN25" i="34"/>
  <c r="BT24" i="34"/>
  <c r="BS24" i="34"/>
  <c r="BR24" i="34"/>
  <c r="BQ24" i="34"/>
  <c r="BP24" i="34"/>
  <c r="BO24" i="34"/>
  <c r="BN24" i="34"/>
  <c r="BM24" i="34"/>
  <c r="BL24" i="34"/>
  <c r="BK24" i="34"/>
  <c r="BJ24" i="34"/>
  <c r="BI24" i="34"/>
  <c r="BH24" i="34"/>
  <c r="BG24" i="34"/>
  <c r="BF24" i="34"/>
  <c r="BB24" i="34"/>
  <c r="BA24" i="34"/>
  <c r="AZ24" i="34"/>
  <c r="AY24" i="34"/>
  <c r="AX24" i="34"/>
  <c r="AW24" i="34"/>
  <c r="AV24" i="34"/>
  <c r="AU24" i="34"/>
  <c r="AT24" i="34"/>
  <c r="AS24" i="34"/>
  <c r="AR24" i="34"/>
  <c r="AQ24" i="34"/>
  <c r="AP24" i="34"/>
  <c r="AO24" i="34"/>
  <c r="AN24" i="34"/>
  <c r="BT23" i="34"/>
  <c r="BS23" i="34"/>
  <c r="BR23" i="34"/>
  <c r="BQ23" i="34"/>
  <c r="BP23" i="34"/>
  <c r="BO23" i="34"/>
  <c r="BN23" i="34"/>
  <c r="BM23" i="34"/>
  <c r="BL23" i="34"/>
  <c r="BK23" i="34"/>
  <c r="BJ23" i="34"/>
  <c r="BI23" i="34"/>
  <c r="BH23" i="34"/>
  <c r="BG23" i="34"/>
  <c r="BF23" i="34"/>
  <c r="BB23" i="34"/>
  <c r="BA23" i="34"/>
  <c r="AZ23" i="34"/>
  <c r="AY23" i="34"/>
  <c r="AX23" i="34"/>
  <c r="AW23" i="34"/>
  <c r="AV23" i="34"/>
  <c r="AU23" i="34"/>
  <c r="AT23" i="34"/>
  <c r="AS23" i="34"/>
  <c r="AR23" i="34"/>
  <c r="AQ23" i="34"/>
  <c r="AP23" i="34"/>
  <c r="AO23" i="34"/>
  <c r="AN23" i="34"/>
  <c r="BT22" i="34"/>
  <c r="BS22" i="34"/>
  <c r="BR22" i="34"/>
  <c r="BQ22" i="34"/>
  <c r="BP22" i="34"/>
  <c r="BO22" i="34"/>
  <c r="BN22" i="34"/>
  <c r="BM22" i="34"/>
  <c r="BL22" i="34"/>
  <c r="BK22" i="34"/>
  <c r="BJ22" i="34"/>
  <c r="BI22" i="34"/>
  <c r="BH22" i="34"/>
  <c r="BG22" i="34"/>
  <c r="BF22" i="34"/>
  <c r="BB22" i="34"/>
  <c r="BA22" i="34"/>
  <c r="AZ22" i="34"/>
  <c r="AY22" i="34"/>
  <c r="AX22" i="34"/>
  <c r="AW22" i="34"/>
  <c r="AV22" i="34"/>
  <c r="AU22" i="34"/>
  <c r="AT22" i="34"/>
  <c r="AS22" i="34"/>
  <c r="AR22" i="34"/>
  <c r="AQ22" i="34"/>
  <c r="AP22" i="34"/>
  <c r="AO22" i="34"/>
  <c r="AN22" i="34"/>
  <c r="BT21" i="34"/>
  <c r="BS21" i="34"/>
  <c r="BR21" i="34"/>
  <c r="BQ21" i="34"/>
  <c r="BP21" i="34"/>
  <c r="BO21" i="34"/>
  <c r="BN21" i="34"/>
  <c r="BM21" i="34"/>
  <c r="BL21" i="34"/>
  <c r="BK21" i="34"/>
  <c r="BJ21" i="34"/>
  <c r="BI21" i="34"/>
  <c r="BH21" i="34"/>
  <c r="BG21" i="34"/>
  <c r="BF21" i="34"/>
  <c r="BB21" i="34"/>
  <c r="BA21" i="34"/>
  <c r="AZ21" i="34"/>
  <c r="AY21" i="34"/>
  <c r="AX21" i="34"/>
  <c r="AW21" i="34"/>
  <c r="AV21" i="34"/>
  <c r="AU21" i="34"/>
  <c r="AT21" i="34"/>
  <c r="AS21" i="34"/>
  <c r="AR21" i="34"/>
  <c r="AQ21" i="34"/>
  <c r="AP21" i="34"/>
  <c r="AO21" i="34"/>
  <c r="AN21" i="34"/>
  <c r="BT15" i="34"/>
  <c r="BS15" i="34"/>
  <c r="BR15" i="34"/>
  <c r="BQ15" i="34"/>
  <c r="BP15" i="34"/>
  <c r="BO15" i="34"/>
  <c r="BN15" i="34"/>
  <c r="BM15" i="34"/>
  <c r="BL15" i="34"/>
  <c r="BK15" i="34"/>
  <c r="BJ15" i="34"/>
  <c r="BI15" i="34"/>
  <c r="BH15" i="34"/>
  <c r="BG15" i="34"/>
  <c r="BF15" i="34"/>
  <c r="BB15" i="34"/>
  <c r="BA15" i="34"/>
  <c r="AZ15" i="34"/>
  <c r="AY15" i="34"/>
  <c r="AX15" i="34"/>
  <c r="AW15" i="34"/>
  <c r="AV15" i="34"/>
  <c r="AU15" i="34"/>
  <c r="AT15" i="34"/>
  <c r="AS15" i="34"/>
  <c r="AR15" i="34"/>
  <c r="AQ15" i="34"/>
  <c r="AP15" i="34"/>
  <c r="AO15" i="34"/>
  <c r="AN15" i="34"/>
  <c r="BT14" i="34"/>
  <c r="BS14" i="34"/>
  <c r="BR14" i="34"/>
  <c r="BQ14" i="34"/>
  <c r="BP14" i="34"/>
  <c r="BO14" i="34"/>
  <c r="BN14" i="34"/>
  <c r="BM14" i="34"/>
  <c r="BL14" i="34"/>
  <c r="BK14" i="34"/>
  <c r="BJ14" i="34"/>
  <c r="BI14" i="34"/>
  <c r="BH14" i="34"/>
  <c r="BG14" i="34"/>
  <c r="BF14" i="34"/>
  <c r="BB14" i="34"/>
  <c r="BA14" i="34"/>
  <c r="AZ14" i="34"/>
  <c r="AY14" i="34"/>
  <c r="AX14" i="34"/>
  <c r="AW14" i="34"/>
  <c r="AV14" i="34"/>
  <c r="AU14" i="34"/>
  <c r="AT14" i="34"/>
  <c r="AS14" i="34"/>
  <c r="AR14" i="34"/>
  <c r="AQ14" i="34"/>
  <c r="AP14" i="34"/>
  <c r="AO14" i="34"/>
  <c r="AN14" i="34"/>
  <c r="BT13" i="34"/>
  <c r="BS13" i="34"/>
  <c r="BR13" i="34"/>
  <c r="BQ13" i="34"/>
  <c r="BP13" i="34"/>
  <c r="BO13" i="34"/>
  <c r="BN13" i="34"/>
  <c r="BM13" i="34"/>
  <c r="BL13" i="34"/>
  <c r="BK13" i="34"/>
  <c r="BJ13" i="34"/>
  <c r="BI13" i="34"/>
  <c r="BH13" i="34"/>
  <c r="BG13" i="34"/>
  <c r="BF13" i="34"/>
  <c r="BB13" i="34"/>
  <c r="BA13" i="34"/>
  <c r="AZ13" i="34"/>
  <c r="AY13" i="34"/>
  <c r="AX13" i="34"/>
  <c r="AW13" i="34"/>
  <c r="AV13" i="34"/>
  <c r="AU13" i="34"/>
  <c r="AT13" i="34"/>
  <c r="AS13" i="34"/>
  <c r="AR13" i="34"/>
  <c r="AQ13" i="34"/>
  <c r="AP13" i="34"/>
  <c r="AO13" i="34"/>
  <c r="AN13" i="34"/>
  <c r="BT12" i="34"/>
  <c r="BS12" i="34"/>
  <c r="BR12" i="34"/>
  <c r="BQ12" i="34"/>
  <c r="BP12" i="34"/>
  <c r="BO12" i="34"/>
  <c r="BN12" i="34"/>
  <c r="BM12" i="34"/>
  <c r="BL12" i="34"/>
  <c r="BK12" i="34"/>
  <c r="BJ12" i="34"/>
  <c r="BI12" i="34"/>
  <c r="BH12" i="34"/>
  <c r="BG12" i="34"/>
  <c r="BF12" i="34"/>
  <c r="BB12" i="34"/>
  <c r="BA12" i="34"/>
  <c r="AZ12" i="34"/>
  <c r="AY12" i="34"/>
  <c r="AX12" i="34"/>
  <c r="AW12" i="34"/>
  <c r="AV12" i="34"/>
  <c r="AU12" i="34"/>
  <c r="AT12" i="34"/>
  <c r="AS12" i="34"/>
  <c r="AR12" i="34"/>
  <c r="AQ12" i="34"/>
  <c r="AP12" i="34"/>
  <c r="AO12" i="34"/>
  <c r="AN12" i="34"/>
  <c r="BT11" i="34"/>
  <c r="BS11" i="34"/>
  <c r="BR11" i="34"/>
  <c r="BQ11" i="34"/>
  <c r="BP11" i="34"/>
  <c r="BO11" i="34"/>
  <c r="BN11" i="34"/>
  <c r="BM11" i="34"/>
  <c r="BL11" i="34"/>
  <c r="BK11" i="34"/>
  <c r="BJ11" i="34"/>
  <c r="BI11" i="34"/>
  <c r="BH11" i="34"/>
  <c r="BG11" i="34"/>
  <c r="BF11" i="34"/>
  <c r="BB11" i="34"/>
  <c r="BA11" i="34"/>
  <c r="AZ11" i="34"/>
  <c r="AY11" i="34"/>
  <c r="AX11" i="34"/>
  <c r="AW11" i="34"/>
  <c r="AV11" i="34"/>
  <c r="AU11" i="34"/>
  <c r="AT11" i="34"/>
  <c r="AS11" i="34"/>
  <c r="AR11" i="34"/>
  <c r="AQ11" i="34"/>
  <c r="AP11" i="34"/>
  <c r="AO11" i="34"/>
  <c r="AN11" i="34"/>
  <c r="BT10" i="34"/>
  <c r="BS10" i="34"/>
  <c r="BR10" i="34"/>
  <c r="BQ10" i="34"/>
  <c r="BP10" i="34"/>
  <c r="BO10" i="34"/>
  <c r="BN10" i="34"/>
  <c r="BM10" i="34"/>
  <c r="BL10" i="34"/>
  <c r="BK10" i="34"/>
  <c r="BJ10" i="34"/>
  <c r="BI10" i="34"/>
  <c r="BH10" i="34"/>
  <c r="BG10" i="34"/>
  <c r="BF10" i="34"/>
  <c r="BB10" i="34"/>
  <c r="BA10" i="34"/>
  <c r="AZ10" i="34"/>
  <c r="AY10" i="34"/>
  <c r="AX10" i="34"/>
  <c r="AW10" i="34"/>
  <c r="AV10" i="34"/>
  <c r="AU10" i="34"/>
  <c r="AT10" i="34"/>
  <c r="AS10" i="34"/>
  <c r="AR10" i="34"/>
  <c r="AQ10" i="34"/>
  <c r="AP10" i="34"/>
  <c r="AO10" i="34"/>
  <c r="AN10" i="34"/>
  <c r="BT9" i="34"/>
  <c r="BS9" i="34"/>
  <c r="BR9" i="34"/>
  <c r="BQ9" i="34"/>
  <c r="BP9" i="34"/>
  <c r="BO9" i="34"/>
  <c r="BN9" i="34"/>
  <c r="BM9" i="34"/>
  <c r="BL9" i="34"/>
  <c r="BK9" i="34"/>
  <c r="BJ9" i="34"/>
  <c r="BI9" i="34"/>
  <c r="BH9" i="34"/>
  <c r="BG9" i="34"/>
  <c r="BF9" i="34"/>
  <c r="BB9" i="34"/>
  <c r="BA9" i="34"/>
  <c r="AZ9" i="34"/>
  <c r="AY9" i="34"/>
  <c r="AX9" i="34"/>
  <c r="AW9" i="34"/>
  <c r="AV9" i="34"/>
  <c r="AU9" i="34"/>
  <c r="AT9" i="34"/>
  <c r="AS9" i="34"/>
  <c r="AR9" i="34"/>
  <c r="AQ9" i="34"/>
  <c r="AP9" i="34"/>
  <c r="AO9" i="34"/>
  <c r="AN9" i="34"/>
  <c r="BT8" i="34"/>
  <c r="BS8" i="34"/>
  <c r="BR8" i="34"/>
  <c r="BQ8" i="34"/>
  <c r="BP8" i="34"/>
  <c r="BO8" i="34"/>
  <c r="BN8" i="34"/>
  <c r="BM8" i="34"/>
  <c r="BL8" i="34"/>
  <c r="BK8" i="34"/>
  <c r="BJ8" i="34"/>
  <c r="BI8" i="34"/>
  <c r="BH8" i="34"/>
  <c r="BG8" i="34"/>
  <c r="BF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BT7" i="34"/>
  <c r="BS7" i="34"/>
  <c r="BR7" i="34"/>
  <c r="BQ7" i="34"/>
  <c r="BP7" i="34"/>
  <c r="BO7" i="34"/>
  <c r="BN7" i="34"/>
  <c r="BM7" i="34"/>
  <c r="BL7" i="34"/>
  <c r="BK7" i="34"/>
  <c r="BJ7" i="34"/>
  <c r="BI7" i="34"/>
  <c r="BH7" i="34"/>
  <c r="BG7" i="34"/>
  <c r="BF7" i="34"/>
  <c r="BB7" i="34"/>
  <c r="BA7" i="34"/>
  <c r="AZ7" i="34"/>
  <c r="AY7" i="34"/>
  <c r="AX7" i="34"/>
  <c r="AW7" i="34"/>
  <c r="AV7" i="34"/>
  <c r="AU7" i="34"/>
  <c r="AT7" i="34"/>
  <c r="AS7" i="34"/>
  <c r="AR7" i="34"/>
  <c r="AQ7" i="34"/>
  <c r="AP7" i="34"/>
  <c r="AO7" i="34"/>
  <c r="AN7" i="34"/>
  <c r="BT6" i="34"/>
  <c r="BS6" i="34"/>
  <c r="BR6" i="34"/>
  <c r="BQ6" i="34"/>
  <c r="BP6" i="34"/>
  <c r="BO6" i="34"/>
  <c r="BN6" i="34"/>
  <c r="BM6" i="34"/>
  <c r="BL6" i="34"/>
  <c r="BK6" i="34"/>
  <c r="BJ6" i="34"/>
  <c r="BI6" i="34"/>
  <c r="BH6" i="34"/>
  <c r="BG6" i="34"/>
  <c r="BF6" i="34"/>
  <c r="BB6" i="34"/>
  <c r="BA6" i="34"/>
  <c r="AZ6" i="34"/>
  <c r="AY6" i="34"/>
  <c r="AX6" i="34"/>
  <c r="AW6" i="34"/>
  <c r="AV6" i="34"/>
  <c r="AU6" i="34"/>
  <c r="AT6" i="34"/>
  <c r="AS6" i="34"/>
  <c r="AR6" i="34"/>
  <c r="AQ6" i="34"/>
  <c r="AP6" i="34"/>
  <c r="AO6" i="34"/>
  <c r="AN6" i="34"/>
  <c r="BT5" i="34"/>
  <c r="BS5" i="34"/>
  <c r="BR5" i="34"/>
  <c r="BQ5" i="34"/>
  <c r="BP5" i="34"/>
  <c r="BO5" i="34"/>
  <c r="BN5" i="34"/>
  <c r="BM5" i="34"/>
  <c r="BL5" i="34"/>
  <c r="BK5" i="34"/>
  <c r="BJ5" i="34"/>
  <c r="BI5" i="34"/>
  <c r="BH5" i="34"/>
  <c r="BG5" i="34"/>
  <c r="BF5" i="34"/>
  <c r="BB5" i="34"/>
  <c r="BA5" i="34"/>
  <c r="AZ5" i="34"/>
  <c r="AY5" i="34"/>
  <c r="AX5" i="34"/>
  <c r="AW5" i="34"/>
  <c r="AV5" i="34"/>
  <c r="AU5" i="34"/>
  <c r="AT5" i="34"/>
  <c r="AS5" i="34"/>
  <c r="AR5" i="34"/>
  <c r="AQ5" i="34"/>
  <c r="AP5" i="34"/>
  <c r="AO5" i="34"/>
  <c r="AN5" i="34"/>
  <c r="BT4" i="34"/>
  <c r="BS4" i="34"/>
  <c r="BR4" i="34"/>
  <c r="BQ4" i="34"/>
  <c r="BP4" i="34"/>
  <c r="BO4" i="34"/>
  <c r="BN4" i="34"/>
  <c r="BM4" i="34"/>
  <c r="BL4" i="34"/>
  <c r="BK4" i="34"/>
  <c r="BJ4" i="34"/>
  <c r="BI4" i="34"/>
  <c r="BH4" i="34"/>
  <c r="BG4" i="34"/>
  <c r="BF4" i="34"/>
  <c r="BB4" i="34"/>
  <c r="BA4" i="34"/>
  <c r="AZ4" i="34"/>
  <c r="AY4" i="34"/>
  <c r="AX4" i="34"/>
  <c r="AW4" i="34"/>
  <c r="AV4" i="34"/>
  <c r="AU4" i="34"/>
  <c r="AT4" i="34"/>
  <c r="AS4" i="34"/>
  <c r="AR4" i="34"/>
  <c r="AQ4" i="34"/>
  <c r="AP4" i="34"/>
  <c r="AO4" i="34"/>
  <c r="AN4" i="34"/>
  <c r="BT32" i="33"/>
  <c r="BS32" i="33"/>
  <c r="BR32" i="33"/>
  <c r="BQ32" i="33"/>
  <c r="BP32" i="33"/>
  <c r="BO32" i="33"/>
  <c r="BN32" i="33"/>
  <c r="BM32" i="33"/>
  <c r="BL32" i="33"/>
  <c r="BK32" i="33"/>
  <c r="BJ32" i="33"/>
  <c r="BI32" i="33"/>
  <c r="BH32" i="33"/>
  <c r="BG32" i="33"/>
  <c r="BF32" i="33"/>
  <c r="BB32" i="33"/>
  <c r="BA32" i="33"/>
  <c r="AZ32" i="33"/>
  <c r="AY32" i="33"/>
  <c r="AX32" i="33"/>
  <c r="AW32" i="33"/>
  <c r="AV32" i="33"/>
  <c r="AU32" i="33"/>
  <c r="AT32" i="33"/>
  <c r="AS32" i="33"/>
  <c r="AR32" i="33"/>
  <c r="AQ32" i="33"/>
  <c r="AP32" i="33"/>
  <c r="AO32" i="33"/>
  <c r="AN32" i="33"/>
  <c r="BT31" i="33"/>
  <c r="BS31" i="33"/>
  <c r="BR31" i="33"/>
  <c r="BQ31" i="33"/>
  <c r="BP31" i="33"/>
  <c r="BO31" i="33"/>
  <c r="BN31" i="33"/>
  <c r="BM31" i="33"/>
  <c r="BL31" i="33"/>
  <c r="BK31" i="33"/>
  <c r="BJ31" i="33"/>
  <c r="BI31" i="33"/>
  <c r="BH31" i="33"/>
  <c r="BG31" i="33"/>
  <c r="BF31" i="33"/>
  <c r="BB31" i="33"/>
  <c r="BA31" i="33"/>
  <c r="AZ31" i="33"/>
  <c r="AY31" i="33"/>
  <c r="AX31" i="33"/>
  <c r="AW31" i="33"/>
  <c r="AV31" i="33"/>
  <c r="AU31" i="33"/>
  <c r="AT31" i="33"/>
  <c r="AS31" i="33"/>
  <c r="AR31" i="33"/>
  <c r="AQ31" i="33"/>
  <c r="AP31" i="33"/>
  <c r="AO31" i="33"/>
  <c r="AN31" i="33"/>
  <c r="BT30" i="33"/>
  <c r="BS30" i="33"/>
  <c r="BR30" i="33"/>
  <c r="BQ30" i="33"/>
  <c r="BP30" i="33"/>
  <c r="BO30" i="33"/>
  <c r="BN30" i="33"/>
  <c r="BM30" i="33"/>
  <c r="BL30" i="33"/>
  <c r="BK30" i="33"/>
  <c r="BJ30" i="33"/>
  <c r="BI30" i="33"/>
  <c r="BH30" i="33"/>
  <c r="BG30" i="33"/>
  <c r="BF30" i="33"/>
  <c r="BB30" i="33"/>
  <c r="BA30" i="33"/>
  <c r="AZ30" i="33"/>
  <c r="AY30" i="33"/>
  <c r="AX30" i="33"/>
  <c r="AW30" i="33"/>
  <c r="AV30" i="33"/>
  <c r="AU30" i="33"/>
  <c r="AT30" i="33"/>
  <c r="AS30" i="33"/>
  <c r="AR30" i="33"/>
  <c r="AQ30" i="33"/>
  <c r="AP30" i="33"/>
  <c r="AO30" i="33"/>
  <c r="AN30" i="33"/>
  <c r="BT29" i="33"/>
  <c r="BS29" i="33"/>
  <c r="BR29" i="33"/>
  <c r="BQ29" i="33"/>
  <c r="BP29" i="33"/>
  <c r="BO29" i="33"/>
  <c r="BN29" i="33"/>
  <c r="BM29" i="33"/>
  <c r="BL29" i="33"/>
  <c r="BK29" i="33"/>
  <c r="BJ29" i="33"/>
  <c r="BI29" i="33"/>
  <c r="BH29" i="33"/>
  <c r="BG29" i="33"/>
  <c r="BF29" i="33"/>
  <c r="BB29" i="33"/>
  <c r="BA29" i="33"/>
  <c r="AZ29" i="33"/>
  <c r="AY29" i="33"/>
  <c r="AX29" i="33"/>
  <c r="AW29" i="33"/>
  <c r="AV29" i="33"/>
  <c r="AU29" i="33"/>
  <c r="AT29" i="33"/>
  <c r="AS29" i="33"/>
  <c r="AR29" i="33"/>
  <c r="AQ29" i="33"/>
  <c r="AP29" i="33"/>
  <c r="AO29" i="33"/>
  <c r="AN29" i="33"/>
  <c r="BT28" i="33"/>
  <c r="BS28" i="33"/>
  <c r="BR28" i="33"/>
  <c r="BQ28" i="33"/>
  <c r="BP28" i="33"/>
  <c r="BO28" i="33"/>
  <c r="BN28" i="33"/>
  <c r="BM28" i="33"/>
  <c r="BL28" i="33"/>
  <c r="BK28" i="33"/>
  <c r="BJ28" i="33"/>
  <c r="BI28" i="33"/>
  <c r="BH28" i="33"/>
  <c r="BG28" i="33"/>
  <c r="BF28" i="33"/>
  <c r="BB28" i="33"/>
  <c r="BA28" i="33"/>
  <c r="AZ28" i="33"/>
  <c r="AY28" i="33"/>
  <c r="AX28" i="33"/>
  <c r="AW28" i="33"/>
  <c r="AV28" i="33"/>
  <c r="AU28" i="33"/>
  <c r="AT28" i="33"/>
  <c r="AS28" i="33"/>
  <c r="AR28" i="33"/>
  <c r="AQ28" i="33"/>
  <c r="AP28" i="33"/>
  <c r="AO28" i="33"/>
  <c r="AN28" i="33"/>
  <c r="BT27" i="33"/>
  <c r="BS27" i="33"/>
  <c r="BR27" i="33"/>
  <c r="BQ27" i="33"/>
  <c r="BP27" i="33"/>
  <c r="BO27" i="33"/>
  <c r="BN27" i="33"/>
  <c r="BM27" i="33"/>
  <c r="BL27" i="33"/>
  <c r="BK27" i="33"/>
  <c r="BJ27" i="33"/>
  <c r="BI27" i="33"/>
  <c r="BH27" i="33"/>
  <c r="BG27" i="33"/>
  <c r="BF27" i="33"/>
  <c r="BB27" i="33"/>
  <c r="BA27" i="33"/>
  <c r="AZ27" i="33"/>
  <c r="AY27" i="33"/>
  <c r="AX27" i="33"/>
  <c r="AW27" i="33"/>
  <c r="AV27" i="33"/>
  <c r="AU27" i="33"/>
  <c r="AT27" i="33"/>
  <c r="AS27" i="33"/>
  <c r="AR27" i="33"/>
  <c r="AQ27" i="33"/>
  <c r="AP27" i="33"/>
  <c r="AO27" i="33"/>
  <c r="AN27" i="33"/>
  <c r="BT26" i="33"/>
  <c r="BS26" i="33"/>
  <c r="BR26" i="33"/>
  <c r="BQ26" i="33"/>
  <c r="BP26" i="33"/>
  <c r="BO26" i="33"/>
  <c r="BN26" i="33"/>
  <c r="BM26" i="33"/>
  <c r="BL26" i="33"/>
  <c r="BK26" i="33"/>
  <c r="BJ26" i="33"/>
  <c r="BI26" i="33"/>
  <c r="BH26" i="33"/>
  <c r="BG26" i="33"/>
  <c r="BF26" i="33"/>
  <c r="BB26" i="33"/>
  <c r="BA26" i="33"/>
  <c r="AZ26" i="33"/>
  <c r="AY26" i="33"/>
  <c r="AX26" i="33"/>
  <c r="AW26" i="33"/>
  <c r="AV26" i="33"/>
  <c r="AU26" i="33"/>
  <c r="AT26" i="33"/>
  <c r="AS26" i="33"/>
  <c r="AR26" i="33"/>
  <c r="AQ26" i="33"/>
  <c r="AP26" i="33"/>
  <c r="AO26" i="33"/>
  <c r="AN26" i="33"/>
  <c r="BT25" i="33"/>
  <c r="BS25" i="33"/>
  <c r="BR25" i="33"/>
  <c r="BQ25" i="33"/>
  <c r="BP25" i="33"/>
  <c r="BO25" i="33"/>
  <c r="BN25" i="33"/>
  <c r="BM25" i="33"/>
  <c r="BL25" i="33"/>
  <c r="BK25" i="33"/>
  <c r="BJ25" i="33"/>
  <c r="BI25" i="33"/>
  <c r="BH25" i="33"/>
  <c r="BG25" i="33"/>
  <c r="BF25" i="33"/>
  <c r="BB25" i="33"/>
  <c r="BA25" i="33"/>
  <c r="AZ25" i="33"/>
  <c r="AY25" i="33"/>
  <c r="AX25" i="33"/>
  <c r="AW25" i="33"/>
  <c r="AV25" i="33"/>
  <c r="AU25" i="33"/>
  <c r="AT25" i="33"/>
  <c r="AS25" i="33"/>
  <c r="AR25" i="33"/>
  <c r="AQ25" i="33"/>
  <c r="AP25" i="33"/>
  <c r="AO25" i="33"/>
  <c r="AN25" i="33"/>
  <c r="BT24" i="33"/>
  <c r="BS24" i="33"/>
  <c r="BR24" i="33"/>
  <c r="BQ24" i="33"/>
  <c r="BP24" i="33"/>
  <c r="BO24" i="33"/>
  <c r="BN24" i="33"/>
  <c r="BM24" i="33"/>
  <c r="BL24" i="33"/>
  <c r="BK24" i="33"/>
  <c r="BJ24" i="33"/>
  <c r="BI24" i="33"/>
  <c r="BH24" i="33"/>
  <c r="BG24" i="33"/>
  <c r="BF24" i="33"/>
  <c r="BB24" i="33"/>
  <c r="BA24" i="33"/>
  <c r="AZ24" i="33"/>
  <c r="AY24" i="33"/>
  <c r="AX24" i="33"/>
  <c r="AW24" i="33"/>
  <c r="AV24" i="33"/>
  <c r="AU24" i="33"/>
  <c r="AT24" i="33"/>
  <c r="AS24" i="33"/>
  <c r="AR24" i="33"/>
  <c r="AQ24" i="33"/>
  <c r="AP24" i="33"/>
  <c r="AO24" i="33"/>
  <c r="AN24" i="33"/>
  <c r="BT23" i="33"/>
  <c r="BS23" i="33"/>
  <c r="BR23" i="33"/>
  <c r="BQ23" i="33"/>
  <c r="BP23" i="33"/>
  <c r="BO23" i="33"/>
  <c r="BN23" i="33"/>
  <c r="BM23" i="33"/>
  <c r="BL23" i="33"/>
  <c r="BK23" i="33"/>
  <c r="BJ23" i="33"/>
  <c r="BI23" i="33"/>
  <c r="BH23" i="33"/>
  <c r="BG23" i="33"/>
  <c r="BF23" i="33"/>
  <c r="BB23" i="33"/>
  <c r="BA23" i="33"/>
  <c r="AZ23" i="33"/>
  <c r="AY23" i="33"/>
  <c r="AX23" i="33"/>
  <c r="AW23" i="33"/>
  <c r="AV23" i="33"/>
  <c r="AU23" i="33"/>
  <c r="AT23" i="33"/>
  <c r="AS23" i="33"/>
  <c r="AR23" i="33"/>
  <c r="AQ23" i="33"/>
  <c r="AP23" i="33"/>
  <c r="AO23" i="33"/>
  <c r="AN23" i="33"/>
  <c r="BT22" i="33"/>
  <c r="BS22" i="33"/>
  <c r="BR22" i="33"/>
  <c r="BQ22" i="33"/>
  <c r="BP22" i="33"/>
  <c r="BO22" i="33"/>
  <c r="BN22" i="33"/>
  <c r="BM22" i="33"/>
  <c r="BL22" i="33"/>
  <c r="BK22" i="33"/>
  <c r="BJ22" i="33"/>
  <c r="BI22" i="33"/>
  <c r="BH22" i="33"/>
  <c r="BG22" i="33"/>
  <c r="BF22" i="33"/>
  <c r="BB22" i="33"/>
  <c r="BA22" i="33"/>
  <c r="AZ22" i="33"/>
  <c r="AY22" i="33"/>
  <c r="AX22" i="33"/>
  <c r="AW22" i="33"/>
  <c r="AV22" i="33"/>
  <c r="AU22" i="33"/>
  <c r="AT22" i="33"/>
  <c r="AS22" i="33"/>
  <c r="AR22" i="33"/>
  <c r="AQ22" i="33"/>
  <c r="AP22" i="33"/>
  <c r="AO22" i="33"/>
  <c r="AN22" i="33"/>
  <c r="BT21" i="33"/>
  <c r="BS21" i="33"/>
  <c r="BR21" i="33"/>
  <c r="BQ21" i="33"/>
  <c r="BP21" i="33"/>
  <c r="BO21" i="33"/>
  <c r="BN21" i="33"/>
  <c r="BM21" i="33"/>
  <c r="BL21" i="33"/>
  <c r="BK21" i="33"/>
  <c r="BJ21" i="33"/>
  <c r="BI21" i="33"/>
  <c r="BH21" i="33"/>
  <c r="BG21" i="33"/>
  <c r="BF21" i="33"/>
  <c r="BB21" i="33"/>
  <c r="BA21" i="33"/>
  <c r="AZ21" i="33"/>
  <c r="AY21" i="33"/>
  <c r="AX21" i="33"/>
  <c r="AW21" i="33"/>
  <c r="AV21" i="33"/>
  <c r="AU21" i="33"/>
  <c r="AT21" i="33"/>
  <c r="AS21" i="33"/>
  <c r="AR21" i="33"/>
  <c r="AQ21" i="33"/>
  <c r="AP21" i="33"/>
  <c r="AO21" i="33"/>
  <c r="AN21" i="33"/>
  <c r="BT15" i="33"/>
  <c r="BS15" i="33"/>
  <c r="BR15" i="33"/>
  <c r="BQ15" i="33"/>
  <c r="BP15" i="33"/>
  <c r="BO15" i="33"/>
  <c r="BN15" i="33"/>
  <c r="BM15" i="33"/>
  <c r="BL15" i="33"/>
  <c r="BK15" i="33"/>
  <c r="BJ15" i="33"/>
  <c r="BI15" i="33"/>
  <c r="BH15" i="33"/>
  <c r="BG15" i="33"/>
  <c r="BF15" i="33"/>
  <c r="BB15" i="33"/>
  <c r="BA15" i="33"/>
  <c r="AZ15" i="33"/>
  <c r="AY15" i="33"/>
  <c r="AX15" i="33"/>
  <c r="AW15" i="33"/>
  <c r="AV15" i="33"/>
  <c r="AU15" i="33"/>
  <c r="AT15" i="33"/>
  <c r="AS15" i="33"/>
  <c r="AR15" i="33"/>
  <c r="AQ15" i="33"/>
  <c r="AP15" i="33"/>
  <c r="AO15" i="33"/>
  <c r="AN15" i="33"/>
  <c r="BT14" i="33"/>
  <c r="BS14" i="33"/>
  <c r="BR14" i="33"/>
  <c r="BQ14" i="33"/>
  <c r="BP14" i="33"/>
  <c r="BO14" i="33"/>
  <c r="BN14" i="33"/>
  <c r="BM14" i="33"/>
  <c r="BL14" i="33"/>
  <c r="BK14" i="33"/>
  <c r="BJ14" i="33"/>
  <c r="BI14" i="33"/>
  <c r="BH14" i="33"/>
  <c r="BG14" i="33"/>
  <c r="BF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AP14" i="33"/>
  <c r="AO14" i="33"/>
  <c r="AN14" i="33"/>
  <c r="BT13" i="33"/>
  <c r="BS13" i="33"/>
  <c r="BR13" i="33"/>
  <c r="BQ13" i="33"/>
  <c r="BP13" i="33"/>
  <c r="BO13" i="33"/>
  <c r="BN13" i="33"/>
  <c r="BM13" i="33"/>
  <c r="BL13" i="33"/>
  <c r="BK13" i="33"/>
  <c r="BJ13" i="33"/>
  <c r="BI13" i="33"/>
  <c r="BH13" i="33"/>
  <c r="BG13" i="33"/>
  <c r="BF13" i="33"/>
  <c r="BB13" i="33"/>
  <c r="BA13" i="33"/>
  <c r="AZ13" i="33"/>
  <c r="AY13" i="33"/>
  <c r="AX13" i="33"/>
  <c r="AW13" i="33"/>
  <c r="AV13" i="33"/>
  <c r="AU13" i="33"/>
  <c r="AT13" i="33"/>
  <c r="AS13" i="33"/>
  <c r="AR13" i="33"/>
  <c r="AQ13" i="33"/>
  <c r="AP13" i="33"/>
  <c r="AO13" i="33"/>
  <c r="AN13" i="33"/>
  <c r="BT12" i="33"/>
  <c r="BS12" i="33"/>
  <c r="BR12" i="33"/>
  <c r="BQ12" i="33"/>
  <c r="BP12" i="33"/>
  <c r="BO12" i="33"/>
  <c r="BN12" i="33"/>
  <c r="BM12" i="33"/>
  <c r="BL12" i="33"/>
  <c r="BK12" i="33"/>
  <c r="BJ12" i="33"/>
  <c r="BI12" i="33"/>
  <c r="BH12" i="33"/>
  <c r="BG12" i="33"/>
  <c r="BF12" i="33"/>
  <c r="BB12" i="33"/>
  <c r="BA12" i="33"/>
  <c r="AZ12" i="33"/>
  <c r="AY12" i="33"/>
  <c r="AX12" i="33"/>
  <c r="AW12" i="33"/>
  <c r="AV12" i="33"/>
  <c r="AU12" i="33"/>
  <c r="AT12" i="33"/>
  <c r="AS12" i="33"/>
  <c r="AR12" i="33"/>
  <c r="AQ12" i="33"/>
  <c r="AP12" i="33"/>
  <c r="AO12" i="33"/>
  <c r="AN12" i="33"/>
  <c r="BT11" i="33"/>
  <c r="BS11" i="33"/>
  <c r="BR11" i="33"/>
  <c r="BQ11" i="33"/>
  <c r="BP11" i="33"/>
  <c r="BO11" i="33"/>
  <c r="BN11" i="33"/>
  <c r="BM11" i="33"/>
  <c r="BL11" i="33"/>
  <c r="BK11" i="33"/>
  <c r="BJ11" i="33"/>
  <c r="BI11" i="33"/>
  <c r="BH11" i="33"/>
  <c r="BG11" i="33"/>
  <c r="BF11" i="33"/>
  <c r="BB11" i="33"/>
  <c r="BA11" i="33"/>
  <c r="AZ11" i="33"/>
  <c r="AY11" i="33"/>
  <c r="AX11" i="33"/>
  <c r="AW11" i="33"/>
  <c r="AV11" i="33"/>
  <c r="AU11" i="33"/>
  <c r="AT11" i="33"/>
  <c r="AS11" i="33"/>
  <c r="AR11" i="33"/>
  <c r="AQ11" i="33"/>
  <c r="AP11" i="33"/>
  <c r="AO11" i="33"/>
  <c r="AN11" i="33"/>
  <c r="BT10" i="33"/>
  <c r="BS10" i="33"/>
  <c r="BR10" i="33"/>
  <c r="BQ10" i="33"/>
  <c r="BP10" i="33"/>
  <c r="BO10" i="33"/>
  <c r="BN10" i="33"/>
  <c r="BM10" i="33"/>
  <c r="BL10" i="33"/>
  <c r="BK10" i="33"/>
  <c r="BJ10" i="33"/>
  <c r="BI10" i="33"/>
  <c r="BH10" i="33"/>
  <c r="BG10" i="33"/>
  <c r="BF10" i="33"/>
  <c r="BB10" i="33"/>
  <c r="BA10" i="33"/>
  <c r="AZ10" i="33"/>
  <c r="AY10" i="33"/>
  <c r="AX10" i="33"/>
  <c r="AW10" i="33"/>
  <c r="AV10" i="33"/>
  <c r="AU10" i="33"/>
  <c r="AT10" i="33"/>
  <c r="AS10" i="33"/>
  <c r="AR10" i="33"/>
  <c r="AQ10" i="33"/>
  <c r="AP10" i="33"/>
  <c r="AO10" i="33"/>
  <c r="AN10" i="33"/>
  <c r="BT9" i="33"/>
  <c r="BS9" i="33"/>
  <c r="BR9" i="33"/>
  <c r="BQ9" i="33"/>
  <c r="BP9" i="33"/>
  <c r="BO9" i="33"/>
  <c r="BN9" i="33"/>
  <c r="BM9" i="33"/>
  <c r="BL9" i="33"/>
  <c r="BK9" i="33"/>
  <c r="BJ9" i="33"/>
  <c r="BI9" i="33"/>
  <c r="BH9" i="33"/>
  <c r="BG9" i="33"/>
  <c r="BF9" i="33"/>
  <c r="BB9" i="33"/>
  <c r="BA9" i="33"/>
  <c r="AZ9" i="33"/>
  <c r="AY9" i="33"/>
  <c r="AX9" i="33"/>
  <c r="AW9" i="33"/>
  <c r="AV9" i="33"/>
  <c r="AU9" i="33"/>
  <c r="AT9" i="33"/>
  <c r="AS9" i="33"/>
  <c r="AR9" i="33"/>
  <c r="AQ9" i="33"/>
  <c r="AP9" i="33"/>
  <c r="AO9" i="33"/>
  <c r="AN9" i="33"/>
  <c r="BT8" i="33"/>
  <c r="BS8" i="33"/>
  <c r="BR8" i="33"/>
  <c r="BQ8" i="33"/>
  <c r="BP8" i="33"/>
  <c r="BO8" i="33"/>
  <c r="BN8" i="33"/>
  <c r="BM8" i="33"/>
  <c r="BL8" i="33"/>
  <c r="BK8" i="33"/>
  <c r="BJ8" i="33"/>
  <c r="BI8" i="33"/>
  <c r="BH8" i="33"/>
  <c r="BG8" i="33"/>
  <c r="BF8" i="33"/>
  <c r="BB8" i="33"/>
  <c r="BA8" i="33"/>
  <c r="AZ8" i="33"/>
  <c r="AY8" i="33"/>
  <c r="AX8" i="33"/>
  <c r="AW8" i="33"/>
  <c r="AV8" i="33"/>
  <c r="AU8" i="33"/>
  <c r="AT8" i="33"/>
  <c r="AS8" i="33"/>
  <c r="AR8" i="33"/>
  <c r="AQ8" i="33"/>
  <c r="AP8" i="33"/>
  <c r="AO8" i="33"/>
  <c r="AN8" i="33"/>
  <c r="BT7" i="33"/>
  <c r="BS7" i="33"/>
  <c r="BR7" i="33"/>
  <c r="BQ7" i="33"/>
  <c r="BP7" i="33"/>
  <c r="BO7" i="33"/>
  <c r="BN7" i="33"/>
  <c r="BM7" i="33"/>
  <c r="BL7" i="33"/>
  <c r="BK7" i="33"/>
  <c r="BJ7" i="33"/>
  <c r="BI7" i="33"/>
  <c r="BH7" i="33"/>
  <c r="BG7" i="33"/>
  <c r="BF7" i="33"/>
  <c r="BB7" i="33"/>
  <c r="BA7" i="33"/>
  <c r="AZ7" i="33"/>
  <c r="AY7" i="33"/>
  <c r="AX7" i="33"/>
  <c r="AW7" i="33"/>
  <c r="AV7" i="33"/>
  <c r="AU7" i="33"/>
  <c r="AT7" i="33"/>
  <c r="AS7" i="33"/>
  <c r="AR7" i="33"/>
  <c r="AQ7" i="33"/>
  <c r="AP7" i="33"/>
  <c r="AO7" i="33"/>
  <c r="AN7" i="33"/>
  <c r="BT6" i="33"/>
  <c r="BS6" i="33"/>
  <c r="BR6" i="33"/>
  <c r="BQ6" i="33"/>
  <c r="BP6" i="33"/>
  <c r="BO6" i="33"/>
  <c r="BN6" i="33"/>
  <c r="BM6" i="33"/>
  <c r="BL6" i="33"/>
  <c r="BK6" i="33"/>
  <c r="BJ6" i="33"/>
  <c r="BI6" i="33"/>
  <c r="BH6" i="33"/>
  <c r="BG6" i="33"/>
  <c r="BF6" i="33"/>
  <c r="BB6" i="33"/>
  <c r="BA6" i="33"/>
  <c r="AZ6" i="33"/>
  <c r="AY6" i="33"/>
  <c r="AX6" i="33"/>
  <c r="AW6" i="33"/>
  <c r="AV6" i="33"/>
  <c r="AU6" i="33"/>
  <c r="AT6" i="33"/>
  <c r="AS6" i="33"/>
  <c r="AR6" i="33"/>
  <c r="AQ6" i="33"/>
  <c r="AP6" i="33"/>
  <c r="AO6" i="33"/>
  <c r="AN6" i="33"/>
  <c r="BT5" i="33"/>
  <c r="BS5" i="33"/>
  <c r="BR5" i="33"/>
  <c r="BQ5" i="33"/>
  <c r="BP5" i="33"/>
  <c r="BO5" i="33"/>
  <c r="BN5" i="33"/>
  <c r="BM5" i="33"/>
  <c r="BL5" i="33"/>
  <c r="BK5" i="33"/>
  <c r="BJ5" i="33"/>
  <c r="BI5" i="33"/>
  <c r="BH5" i="33"/>
  <c r="BG5" i="33"/>
  <c r="BF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BT4" i="33"/>
  <c r="BS4" i="33"/>
  <c r="BR4" i="33"/>
  <c r="BQ4" i="33"/>
  <c r="BP4" i="33"/>
  <c r="BO4" i="33"/>
  <c r="BN4" i="33"/>
  <c r="BM4" i="33"/>
  <c r="BL4" i="33"/>
  <c r="BK4" i="33"/>
  <c r="BJ4" i="33"/>
  <c r="BI4" i="33"/>
  <c r="BH4" i="33"/>
  <c r="BG4" i="33"/>
  <c r="BF4" i="33"/>
  <c r="BB4" i="33"/>
  <c r="BA4" i="33"/>
  <c r="AZ4" i="33"/>
  <c r="AY4" i="33"/>
  <c r="AX4" i="33"/>
  <c r="AW4" i="33"/>
  <c r="AV4" i="33"/>
  <c r="AU4" i="33"/>
  <c r="AT4" i="33"/>
  <c r="AS4" i="33"/>
  <c r="AR4" i="33"/>
  <c r="AQ4" i="33"/>
  <c r="AP4" i="33"/>
  <c r="AO4" i="33"/>
  <c r="AN4" i="33"/>
  <c r="BT32" i="32"/>
  <c r="BS32" i="32"/>
  <c r="BR32" i="32"/>
  <c r="BQ32" i="32"/>
  <c r="BP32" i="32"/>
  <c r="BO32" i="32"/>
  <c r="BN32" i="32"/>
  <c r="BM32" i="32"/>
  <c r="BL32" i="32"/>
  <c r="BK32" i="32"/>
  <c r="BJ32" i="32"/>
  <c r="BI32" i="32"/>
  <c r="BH32" i="32"/>
  <c r="BG32" i="32"/>
  <c r="BF32" i="32"/>
  <c r="BB32" i="32"/>
  <c r="BA32" i="32"/>
  <c r="AZ32" i="32"/>
  <c r="AY32" i="32"/>
  <c r="AX32" i="32"/>
  <c r="AW32" i="32"/>
  <c r="AV32" i="32"/>
  <c r="AU32" i="32"/>
  <c r="AT32" i="32"/>
  <c r="AS32" i="32"/>
  <c r="AR32" i="32"/>
  <c r="AQ32" i="32"/>
  <c r="AP32" i="32"/>
  <c r="AO32" i="32"/>
  <c r="AN32" i="32"/>
  <c r="BT31" i="32"/>
  <c r="BS31" i="32"/>
  <c r="BR31" i="32"/>
  <c r="BQ31" i="32"/>
  <c r="BP31" i="32"/>
  <c r="BO31" i="32"/>
  <c r="BN31" i="32"/>
  <c r="BM31" i="32"/>
  <c r="BL31" i="32"/>
  <c r="BK31" i="32"/>
  <c r="BJ31" i="32"/>
  <c r="BI31" i="32"/>
  <c r="BH31" i="32"/>
  <c r="BG31" i="32"/>
  <c r="BF31" i="32"/>
  <c r="BB31" i="32"/>
  <c r="BA31" i="32"/>
  <c r="AZ31" i="32"/>
  <c r="AY31" i="32"/>
  <c r="AX31" i="32"/>
  <c r="AW31" i="32"/>
  <c r="AV31" i="32"/>
  <c r="AU31" i="32"/>
  <c r="AT31" i="32"/>
  <c r="AS31" i="32"/>
  <c r="AR31" i="32"/>
  <c r="AQ31" i="32"/>
  <c r="AP31" i="32"/>
  <c r="AO31" i="32"/>
  <c r="AN31" i="32"/>
  <c r="BT30" i="32"/>
  <c r="BS30" i="32"/>
  <c r="BR30" i="32"/>
  <c r="BQ30" i="32"/>
  <c r="BP30" i="32"/>
  <c r="BO30" i="32"/>
  <c r="BN30" i="32"/>
  <c r="BM30" i="32"/>
  <c r="BL30" i="32"/>
  <c r="BK30" i="32"/>
  <c r="BJ30" i="32"/>
  <c r="BI30" i="32"/>
  <c r="BH30" i="32"/>
  <c r="BG30" i="32"/>
  <c r="BF30" i="32"/>
  <c r="BB30" i="32"/>
  <c r="BA30" i="32"/>
  <c r="AZ30" i="32"/>
  <c r="AY30" i="32"/>
  <c r="AX30" i="32"/>
  <c r="AW30" i="32"/>
  <c r="AV30" i="32"/>
  <c r="AU30" i="32"/>
  <c r="AT30" i="32"/>
  <c r="AS30" i="32"/>
  <c r="AR30" i="32"/>
  <c r="AQ30" i="32"/>
  <c r="AP30" i="32"/>
  <c r="AO30" i="32"/>
  <c r="AN30" i="32"/>
  <c r="BT29" i="32"/>
  <c r="BS29" i="32"/>
  <c r="BR29" i="32"/>
  <c r="BQ29" i="32"/>
  <c r="BP29" i="32"/>
  <c r="BO29" i="32"/>
  <c r="BN29" i="32"/>
  <c r="BM29" i="32"/>
  <c r="BL29" i="32"/>
  <c r="BK29" i="32"/>
  <c r="BJ29" i="32"/>
  <c r="BI29" i="32"/>
  <c r="BH29" i="32"/>
  <c r="BG29" i="32"/>
  <c r="BF29" i="32"/>
  <c r="BB29" i="32"/>
  <c r="BA29" i="32"/>
  <c r="AZ29" i="32"/>
  <c r="AY29" i="32"/>
  <c r="AX29" i="32"/>
  <c r="AW29" i="32"/>
  <c r="AV29" i="32"/>
  <c r="AU29" i="32"/>
  <c r="AT29" i="32"/>
  <c r="AS29" i="32"/>
  <c r="AR29" i="32"/>
  <c r="AQ29" i="32"/>
  <c r="AP29" i="32"/>
  <c r="AO29" i="32"/>
  <c r="AN29" i="32"/>
  <c r="BT28" i="32"/>
  <c r="BS28" i="32"/>
  <c r="BR28" i="32"/>
  <c r="BQ28" i="32"/>
  <c r="BP28" i="32"/>
  <c r="BO28" i="32"/>
  <c r="BN28" i="32"/>
  <c r="BM28" i="32"/>
  <c r="BL28" i="32"/>
  <c r="BK28" i="32"/>
  <c r="BJ28" i="32"/>
  <c r="BI28" i="32"/>
  <c r="BH28" i="32"/>
  <c r="BG28" i="32"/>
  <c r="BF28" i="32"/>
  <c r="BB28" i="32"/>
  <c r="BA28" i="32"/>
  <c r="AZ28" i="32"/>
  <c r="AY28" i="32"/>
  <c r="AX28" i="32"/>
  <c r="AW28" i="32"/>
  <c r="AV28" i="32"/>
  <c r="AU28" i="32"/>
  <c r="AT28" i="32"/>
  <c r="AS28" i="32"/>
  <c r="AR28" i="32"/>
  <c r="AQ28" i="32"/>
  <c r="AP28" i="32"/>
  <c r="AO28" i="32"/>
  <c r="AN28" i="32"/>
  <c r="BT27" i="32"/>
  <c r="BS27" i="32"/>
  <c r="BR27" i="32"/>
  <c r="BQ27" i="32"/>
  <c r="BP27" i="32"/>
  <c r="BO27" i="32"/>
  <c r="BN27" i="32"/>
  <c r="BM27" i="32"/>
  <c r="BL27" i="32"/>
  <c r="BK27" i="32"/>
  <c r="BJ27" i="32"/>
  <c r="BI27" i="32"/>
  <c r="BH27" i="32"/>
  <c r="BG27" i="32"/>
  <c r="BF27" i="32"/>
  <c r="BB27" i="32"/>
  <c r="BA27" i="32"/>
  <c r="AZ27" i="32"/>
  <c r="AY27" i="32"/>
  <c r="AX27" i="32"/>
  <c r="AW27" i="32"/>
  <c r="AV27" i="32"/>
  <c r="AU27" i="32"/>
  <c r="AT27" i="32"/>
  <c r="AS27" i="32"/>
  <c r="AR27" i="32"/>
  <c r="AQ27" i="32"/>
  <c r="AP27" i="32"/>
  <c r="AO27" i="32"/>
  <c r="AN27" i="32"/>
  <c r="BT26" i="32"/>
  <c r="BS26" i="32"/>
  <c r="BR26" i="32"/>
  <c r="BQ26" i="32"/>
  <c r="BP26" i="32"/>
  <c r="BO26" i="32"/>
  <c r="BN26" i="32"/>
  <c r="BM26" i="32"/>
  <c r="BL26" i="32"/>
  <c r="BK26" i="32"/>
  <c r="BJ26" i="32"/>
  <c r="BI26" i="32"/>
  <c r="BH26" i="32"/>
  <c r="BG26" i="32"/>
  <c r="BF26" i="32"/>
  <c r="BB26" i="32"/>
  <c r="BA26" i="32"/>
  <c r="AZ26" i="32"/>
  <c r="AY26" i="32"/>
  <c r="AX26" i="32"/>
  <c r="AW26" i="32"/>
  <c r="AV26" i="32"/>
  <c r="AU26" i="32"/>
  <c r="AT26" i="32"/>
  <c r="AS26" i="32"/>
  <c r="AR26" i="32"/>
  <c r="AQ26" i="32"/>
  <c r="AP26" i="32"/>
  <c r="AO26" i="32"/>
  <c r="AN26" i="32"/>
  <c r="BT25" i="32"/>
  <c r="BS25" i="32"/>
  <c r="BR25" i="32"/>
  <c r="BQ25" i="32"/>
  <c r="BP25" i="32"/>
  <c r="BO25" i="32"/>
  <c r="BN25" i="32"/>
  <c r="BM25" i="32"/>
  <c r="BL25" i="32"/>
  <c r="BK25" i="32"/>
  <c r="BJ25" i="32"/>
  <c r="BI25" i="32"/>
  <c r="BH25" i="32"/>
  <c r="BG25" i="32"/>
  <c r="BF25" i="32"/>
  <c r="BB25" i="32"/>
  <c r="BA25" i="32"/>
  <c r="AZ25" i="32"/>
  <c r="AY25" i="32"/>
  <c r="AX25" i="32"/>
  <c r="AW25" i="32"/>
  <c r="AV25" i="32"/>
  <c r="AU25" i="32"/>
  <c r="AT25" i="32"/>
  <c r="AS25" i="32"/>
  <c r="AR25" i="32"/>
  <c r="AQ25" i="32"/>
  <c r="AP25" i="32"/>
  <c r="AO25" i="32"/>
  <c r="AN25" i="32"/>
  <c r="BT24" i="32"/>
  <c r="BS24" i="32"/>
  <c r="BR24" i="32"/>
  <c r="BQ24" i="32"/>
  <c r="BP24" i="32"/>
  <c r="BO24" i="32"/>
  <c r="BN24" i="32"/>
  <c r="BM24" i="32"/>
  <c r="BL24" i="32"/>
  <c r="BK24" i="32"/>
  <c r="BJ24" i="32"/>
  <c r="BI24" i="32"/>
  <c r="BH24" i="32"/>
  <c r="BG24" i="32"/>
  <c r="BF24" i="32"/>
  <c r="BB24" i="32"/>
  <c r="BA24" i="32"/>
  <c r="AZ24" i="32"/>
  <c r="AY24" i="32"/>
  <c r="AX24" i="32"/>
  <c r="AW24" i="32"/>
  <c r="AV24" i="32"/>
  <c r="AU24" i="32"/>
  <c r="AT24" i="32"/>
  <c r="AS24" i="32"/>
  <c r="AR24" i="32"/>
  <c r="AQ24" i="32"/>
  <c r="AP24" i="32"/>
  <c r="AO24" i="32"/>
  <c r="AN24" i="32"/>
  <c r="BT23" i="32"/>
  <c r="BS23" i="32"/>
  <c r="BR23" i="32"/>
  <c r="BQ23" i="32"/>
  <c r="BP23" i="32"/>
  <c r="BO23" i="32"/>
  <c r="BN23" i="32"/>
  <c r="BM23" i="32"/>
  <c r="BL23" i="32"/>
  <c r="BK23" i="32"/>
  <c r="BJ23" i="32"/>
  <c r="BI23" i="32"/>
  <c r="BH23" i="32"/>
  <c r="BG23" i="32"/>
  <c r="BF23" i="32"/>
  <c r="BB23" i="32"/>
  <c r="BA23" i="32"/>
  <c r="AZ23" i="32"/>
  <c r="AY23" i="32"/>
  <c r="AX23" i="32"/>
  <c r="AW23" i="32"/>
  <c r="AV23" i="32"/>
  <c r="AU23" i="32"/>
  <c r="AT23" i="32"/>
  <c r="AS23" i="32"/>
  <c r="AR23" i="32"/>
  <c r="AQ23" i="32"/>
  <c r="AP23" i="32"/>
  <c r="AO23" i="32"/>
  <c r="AN23" i="32"/>
  <c r="BT22" i="32"/>
  <c r="BS22" i="32"/>
  <c r="BR22" i="32"/>
  <c r="BQ22" i="32"/>
  <c r="BP22" i="32"/>
  <c r="BO22" i="32"/>
  <c r="BN22" i="32"/>
  <c r="BM22" i="32"/>
  <c r="BL22" i="32"/>
  <c r="BK22" i="32"/>
  <c r="BJ22" i="32"/>
  <c r="BI22" i="32"/>
  <c r="BH22" i="32"/>
  <c r="BG22" i="32"/>
  <c r="BF22" i="32"/>
  <c r="BB22" i="32"/>
  <c r="BA22" i="32"/>
  <c r="AZ22" i="32"/>
  <c r="AY22" i="32"/>
  <c r="AX22" i="32"/>
  <c r="AW22" i="32"/>
  <c r="AV22" i="32"/>
  <c r="AU22" i="32"/>
  <c r="AT22" i="32"/>
  <c r="AS22" i="32"/>
  <c r="AR22" i="32"/>
  <c r="AQ22" i="32"/>
  <c r="AP22" i="32"/>
  <c r="AO22" i="32"/>
  <c r="AN22" i="32"/>
  <c r="BT21" i="32"/>
  <c r="BS21" i="32"/>
  <c r="BR21" i="32"/>
  <c r="BQ21" i="32"/>
  <c r="BP21" i="32"/>
  <c r="BO21" i="32"/>
  <c r="BN21" i="32"/>
  <c r="BM21" i="32"/>
  <c r="BL21" i="32"/>
  <c r="BK21" i="32"/>
  <c r="BJ21" i="32"/>
  <c r="BI21" i="32"/>
  <c r="BH21" i="32"/>
  <c r="BG21" i="32"/>
  <c r="BF21" i="32"/>
  <c r="BB21" i="32"/>
  <c r="BA21" i="32"/>
  <c r="AZ21" i="32"/>
  <c r="AY21" i="32"/>
  <c r="AX21" i="32"/>
  <c r="AW21" i="32"/>
  <c r="AV21" i="32"/>
  <c r="AU21" i="32"/>
  <c r="AT21" i="32"/>
  <c r="AS21" i="32"/>
  <c r="AR21" i="32"/>
  <c r="AQ21" i="32"/>
  <c r="AP21" i="32"/>
  <c r="AO21" i="32"/>
  <c r="AN21" i="32"/>
  <c r="BT15" i="32"/>
  <c r="BS15" i="32"/>
  <c r="BR15" i="32"/>
  <c r="BQ15" i="32"/>
  <c r="BP15" i="32"/>
  <c r="BO15" i="32"/>
  <c r="BN15" i="32"/>
  <c r="BM15" i="32"/>
  <c r="BL15" i="32"/>
  <c r="BK15" i="32"/>
  <c r="BJ15" i="32"/>
  <c r="BI15" i="32"/>
  <c r="BH15" i="32"/>
  <c r="BG15" i="32"/>
  <c r="BF15" i="32"/>
  <c r="BB15" i="32"/>
  <c r="BA15" i="32"/>
  <c r="AZ15" i="32"/>
  <c r="AY15" i="32"/>
  <c r="AX15" i="32"/>
  <c r="AW15" i="32"/>
  <c r="AV15" i="32"/>
  <c r="AU15" i="32"/>
  <c r="AT15" i="32"/>
  <c r="AS15" i="32"/>
  <c r="AR15" i="32"/>
  <c r="AQ15" i="32"/>
  <c r="AP15" i="32"/>
  <c r="AO15" i="32"/>
  <c r="AN15" i="32"/>
  <c r="BT14" i="32"/>
  <c r="BS14" i="32"/>
  <c r="BR14" i="32"/>
  <c r="BQ14" i="32"/>
  <c r="BP14" i="32"/>
  <c r="BO14" i="32"/>
  <c r="BN14" i="32"/>
  <c r="BM14" i="32"/>
  <c r="BL14" i="32"/>
  <c r="BK14" i="32"/>
  <c r="BJ14" i="32"/>
  <c r="BI14" i="32"/>
  <c r="BH14" i="32"/>
  <c r="BG14" i="32"/>
  <c r="BF14" i="32"/>
  <c r="BB14" i="32"/>
  <c r="BA14" i="32"/>
  <c r="AZ14" i="32"/>
  <c r="AY14" i="32"/>
  <c r="AX14" i="32"/>
  <c r="AW14" i="32"/>
  <c r="AV14" i="32"/>
  <c r="AU14" i="32"/>
  <c r="AT14" i="32"/>
  <c r="AS14" i="32"/>
  <c r="AR14" i="32"/>
  <c r="AQ14" i="32"/>
  <c r="AP14" i="32"/>
  <c r="AO14" i="32"/>
  <c r="AN14" i="32"/>
  <c r="BT13" i="32"/>
  <c r="BS13" i="32"/>
  <c r="BR13" i="32"/>
  <c r="BQ13" i="32"/>
  <c r="BP13" i="32"/>
  <c r="BO13" i="32"/>
  <c r="BN13" i="32"/>
  <c r="BM13" i="32"/>
  <c r="BL13" i="32"/>
  <c r="BK13" i="32"/>
  <c r="BJ13" i="32"/>
  <c r="BI13" i="32"/>
  <c r="BH13" i="32"/>
  <c r="BG13" i="32"/>
  <c r="BF13" i="32"/>
  <c r="BB13" i="32"/>
  <c r="BA13" i="32"/>
  <c r="AZ13" i="32"/>
  <c r="AY13" i="32"/>
  <c r="AX13" i="32"/>
  <c r="AW13" i="32"/>
  <c r="AV13" i="32"/>
  <c r="AU13" i="32"/>
  <c r="AT13" i="32"/>
  <c r="AS13" i="32"/>
  <c r="AR13" i="32"/>
  <c r="AQ13" i="32"/>
  <c r="AP13" i="32"/>
  <c r="AO13" i="32"/>
  <c r="AN13" i="32"/>
  <c r="BT12" i="32"/>
  <c r="BS12" i="32"/>
  <c r="BR12" i="32"/>
  <c r="BQ12" i="32"/>
  <c r="BP12" i="32"/>
  <c r="BO12" i="32"/>
  <c r="BN12" i="32"/>
  <c r="BM12" i="32"/>
  <c r="BL12" i="32"/>
  <c r="BK12" i="32"/>
  <c r="BJ12" i="32"/>
  <c r="BI12" i="32"/>
  <c r="BH12" i="32"/>
  <c r="BG12" i="32"/>
  <c r="BF12" i="32"/>
  <c r="BB12" i="32"/>
  <c r="BA12" i="32"/>
  <c r="AZ12" i="32"/>
  <c r="AY12" i="32"/>
  <c r="AX12" i="32"/>
  <c r="AW12" i="32"/>
  <c r="AV12" i="32"/>
  <c r="AU12" i="32"/>
  <c r="AT12" i="32"/>
  <c r="AS12" i="32"/>
  <c r="AR12" i="32"/>
  <c r="AQ12" i="32"/>
  <c r="AP12" i="32"/>
  <c r="AO12" i="32"/>
  <c r="AN12" i="32"/>
  <c r="BT11" i="32"/>
  <c r="BS11" i="32"/>
  <c r="BR11" i="32"/>
  <c r="BQ11" i="32"/>
  <c r="BP11" i="32"/>
  <c r="BO11" i="32"/>
  <c r="BN11" i="32"/>
  <c r="BM11" i="32"/>
  <c r="BL11" i="32"/>
  <c r="BK11" i="32"/>
  <c r="BJ11" i="32"/>
  <c r="BI11" i="32"/>
  <c r="BH11" i="32"/>
  <c r="BG11" i="32"/>
  <c r="BF11" i="32"/>
  <c r="BB11" i="32"/>
  <c r="BA11" i="32"/>
  <c r="AZ11" i="32"/>
  <c r="AY11" i="32"/>
  <c r="AX11" i="32"/>
  <c r="AW11" i="32"/>
  <c r="AV11" i="32"/>
  <c r="AU11" i="32"/>
  <c r="AT11" i="32"/>
  <c r="AS11" i="32"/>
  <c r="AR11" i="32"/>
  <c r="AQ11" i="32"/>
  <c r="AP11" i="32"/>
  <c r="AO11" i="32"/>
  <c r="AN11" i="32"/>
  <c r="BT10" i="32"/>
  <c r="BS10" i="32"/>
  <c r="BR10" i="32"/>
  <c r="BQ10" i="32"/>
  <c r="BP10" i="32"/>
  <c r="BO10" i="32"/>
  <c r="BN10" i="32"/>
  <c r="BM10" i="32"/>
  <c r="BL10" i="32"/>
  <c r="BK10" i="32"/>
  <c r="BJ10" i="32"/>
  <c r="BI10" i="32"/>
  <c r="BH10" i="32"/>
  <c r="BG10" i="32"/>
  <c r="BF10" i="32"/>
  <c r="BB10" i="32"/>
  <c r="BA10" i="32"/>
  <c r="AZ10" i="32"/>
  <c r="AY10" i="32"/>
  <c r="AX10" i="32"/>
  <c r="AW10" i="32"/>
  <c r="AV10" i="32"/>
  <c r="AU10" i="32"/>
  <c r="AT10" i="32"/>
  <c r="AS10" i="32"/>
  <c r="AR10" i="32"/>
  <c r="AQ10" i="32"/>
  <c r="AP10" i="32"/>
  <c r="AO10" i="32"/>
  <c r="AN10" i="32"/>
  <c r="BT9" i="32"/>
  <c r="BS9" i="32"/>
  <c r="BR9" i="32"/>
  <c r="BQ9" i="32"/>
  <c r="BP9" i="32"/>
  <c r="BO9" i="32"/>
  <c r="BN9" i="32"/>
  <c r="BM9" i="32"/>
  <c r="BL9" i="32"/>
  <c r="BK9" i="32"/>
  <c r="BJ9" i="32"/>
  <c r="BI9" i="32"/>
  <c r="BH9" i="32"/>
  <c r="BG9" i="32"/>
  <c r="BF9" i="32"/>
  <c r="BB9" i="32"/>
  <c r="BA9" i="32"/>
  <c r="AZ9" i="32"/>
  <c r="AY9" i="32"/>
  <c r="AX9" i="32"/>
  <c r="AW9" i="32"/>
  <c r="AV9" i="32"/>
  <c r="AU9" i="32"/>
  <c r="AT9" i="32"/>
  <c r="AS9" i="32"/>
  <c r="AR9" i="32"/>
  <c r="AQ9" i="32"/>
  <c r="AP9" i="32"/>
  <c r="AO9" i="32"/>
  <c r="AN9" i="32"/>
  <c r="BT8" i="32"/>
  <c r="BS8" i="32"/>
  <c r="BR8" i="32"/>
  <c r="BQ8" i="32"/>
  <c r="BP8" i="32"/>
  <c r="BO8" i="32"/>
  <c r="BN8" i="32"/>
  <c r="BM8" i="32"/>
  <c r="BL8" i="32"/>
  <c r="BK8" i="32"/>
  <c r="BJ8" i="32"/>
  <c r="BI8" i="32"/>
  <c r="BH8" i="32"/>
  <c r="BG8" i="32"/>
  <c r="BF8" i="32"/>
  <c r="BB8" i="32"/>
  <c r="BA8" i="32"/>
  <c r="AZ8" i="32"/>
  <c r="AY8" i="32"/>
  <c r="AX8" i="32"/>
  <c r="AW8" i="32"/>
  <c r="AV8" i="32"/>
  <c r="AU8" i="32"/>
  <c r="AT8" i="32"/>
  <c r="AS8" i="32"/>
  <c r="AR8" i="32"/>
  <c r="AQ8" i="32"/>
  <c r="AP8" i="32"/>
  <c r="AO8" i="32"/>
  <c r="AN8" i="32"/>
  <c r="BT7" i="32"/>
  <c r="BS7" i="32"/>
  <c r="BR7" i="32"/>
  <c r="BQ7" i="32"/>
  <c r="BP7" i="32"/>
  <c r="BO7" i="32"/>
  <c r="BN7" i="32"/>
  <c r="BM7" i="32"/>
  <c r="BL7" i="32"/>
  <c r="BK7" i="32"/>
  <c r="BJ7" i="32"/>
  <c r="BI7" i="32"/>
  <c r="BH7" i="32"/>
  <c r="BG7" i="32"/>
  <c r="BF7" i="32"/>
  <c r="BB7" i="32"/>
  <c r="BA7" i="32"/>
  <c r="AZ7" i="32"/>
  <c r="AY7" i="32"/>
  <c r="AX7" i="32"/>
  <c r="AW7" i="32"/>
  <c r="AV7" i="32"/>
  <c r="AU7" i="32"/>
  <c r="AT7" i="32"/>
  <c r="AS7" i="32"/>
  <c r="AR7" i="32"/>
  <c r="AQ7" i="32"/>
  <c r="AP7" i="32"/>
  <c r="AO7" i="32"/>
  <c r="AN7" i="32"/>
  <c r="BT6" i="32"/>
  <c r="BS6" i="32"/>
  <c r="BR6" i="32"/>
  <c r="BQ6" i="32"/>
  <c r="BP6" i="32"/>
  <c r="BO6" i="32"/>
  <c r="BN6" i="32"/>
  <c r="BM6" i="32"/>
  <c r="BL6" i="32"/>
  <c r="BK6" i="32"/>
  <c r="BJ6" i="32"/>
  <c r="BI6" i="32"/>
  <c r="BH6" i="32"/>
  <c r="BG6" i="32"/>
  <c r="BF6" i="32"/>
  <c r="BB6" i="32"/>
  <c r="BA6" i="32"/>
  <c r="AZ6" i="32"/>
  <c r="AY6" i="32"/>
  <c r="AX6" i="32"/>
  <c r="AW6" i="32"/>
  <c r="AV6" i="32"/>
  <c r="AU6" i="32"/>
  <c r="AT6" i="32"/>
  <c r="AS6" i="32"/>
  <c r="AR6" i="32"/>
  <c r="AQ6" i="32"/>
  <c r="AP6" i="32"/>
  <c r="AO6" i="32"/>
  <c r="AN6" i="32"/>
  <c r="BT5" i="32"/>
  <c r="BS5" i="32"/>
  <c r="BR5" i="32"/>
  <c r="BQ5" i="32"/>
  <c r="BP5" i="32"/>
  <c r="BO5" i="32"/>
  <c r="BN5" i="32"/>
  <c r="BM5" i="32"/>
  <c r="BL5" i="32"/>
  <c r="BK5" i="32"/>
  <c r="BJ5" i="32"/>
  <c r="BI5" i="32"/>
  <c r="BH5" i="32"/>
  <c r="BG5" i="32"/>
  <c r="BF5" i="32"/>
  <c r="BB5" i="32"/>
  <c r="BA5" i="32"/>
  <c r="AZ5" i="32"/>
  <c r="AY5" i="32"/>
  <c r="AX5" i="32"/>
  <c r="AW5" i="32"/>
  <c r="AV5" i="32"/>
  <c r="AU5" i="32"/>
  <c r="AT5" i="32"/>
  <c r="AS5" i="32"/>
  <c r="AR5" i="32"/>
  <c r="AQ5" i="32"/>
  <c r="AP5" i="32"/>
  <c r="AO5" i="32"/>
  <c r="AN5" i="32"/>
  <c r="BT4" i="32"/>
  <c r="BS4" i="32"/>
  <c r="BR4" i="32"/>
  <c r="BQ4" i="32"/>
  <c r="BP4" i="32"/>
  <c r="BO4" i="32"/>
  <c r="BN4" i="32"/>
  <c r="BM4" i="32"/>
  <c r="BL4" i="32"/>
  <c r="BK4" i="32"/>
  <c r="BJ4" i="32"/>
  <c r="BI4" i="32"/>
  <c r="BH4" i="32"/>
  <c r="BG4" i="32"/>
  <c r="BF4" i="32"/>
  <c r="BB4" i="32"/>
  <c r="BA4" i="32"/>
  <c r="AZ4" i="32"/>
  <c r="AY4" i="32"/>
  <c r="AX4" i="32"/>
  <c r="AW4" i="32"/>
  <c r="AV4" i="32"/>
  <c r="AU4" i="32"/>
  <c r="AT4" i="32"/>
  <c r="AS4" i="32"/>
  <c r="AR4" i="32"/>
  <c r="AQ4" i="32"/>
  <c r="AP4" i="32"/>
  <c r="AO4" i="32"/>
  <c r="AN4" i="32"/>
  <c r="BG21" i="26"/>
  <c r="BH21" i="26"/>
  <c r="BI21" i="26"/>
  <c r="BJ21" i="26"/>
  <c r="BK21" i="26"/>
  <c r="BL21" i="26"/>
  <c r="BM21" i="26"/>
  <c r="BN21" i="26"/>
  <c r="BO21" i="26"/>
  <c r="BP21" i="26"/>
  <c r="BQ21" i="26"/>
  <c r="BR21" i="26"/>
  <c r="BS21" i="26"/>
  <c r="BT21" i="26"/>
  <c r="BG22" i="26"/>
  <c r="BH22" i="26"/>
  <c r="BI22" i="26"/>
  <c r="BJ22" i="26"/>
  <c r="BK22" i="26"/>
  <c r="BL22" i="26"/>
  <c r="BM22" i="26"/>
  <c r="BN22" i="26"/>
  <c r="BO22" i="26"/>
  <c r="BP22" i="26"/>
  <c r="BQ22" i="26"/>
  <c r="BR22" i="26"/>
  <c r="BS22" i="26"/>
  <c r="BT22" i="26"/>
  <c r="BG23" i="26"/>
  <c r="BH23" i="26"/>
  <c r="BI23" i="26"/>
  <c r="BJ23" i="26"/>
  <c r="BK23" i="26"/>
  <c r="BL23" i="26"/>
  <c r="BM23" i="26"/>
  <c r="BN23" i="26"/>
  <c r="BO23" i="26"/>
  <c r="BP23" i="26"/>
  <c r="BQ23" i="26"/>
  <c r="BR23" i="26"/>
  <c r="BS23" i="26"/>
  <c r="BT23" i="26"/>
  <c r="BG24" i="26"/>
  <c r="BH24" i="26"/>
  <c r="BI24" i="26"/>
  <c r="BJ24" i="26"/>
  <c r="BK24" i="26"/>
  <c r="BL24" i="26"/>
  <c r="BM24" i="26"/>
  <c r="BN24" i="26"/>
  <c r="BO24" i="26"/>
  <c r="BP24" i="26"/>
  <c r="BQ24" i="26"/>
  <c r="BR24" i="26"/>
  <c r="BS24" i="26"/>
  <c r="BT24" i="26"/>
  <c r="BG25" i="26"/>
  <c r="BH25" i="26"/>
  <c r="BI25" i="26"/>
  <c r="BJ25" i="26"/>
  <c r="BK25" i="26"/>
  <c r="BL25" i="26"/>
  <c r="BM25" i="26"/>
  <c r="BN25" i="26"/>
  <c r="BO25" i="26"/>
  <c r="BP25" i="26"/>
  <c r="BQ25" i="26"/>
  <c r="BR25" i="26"/>
  <c r="BS25" i="26"/>
  <c r="BT25" i="26"/>
  <c r="BG26" i="26"/>
  <c r="BH26" i="26"/>
  <c r="BI26" i="26"/>
  <c r="BJ26" i="26"/>
  <c r="BK26" i="26"/>
  <c r="BL26" i="26"/>
  <c r="BM26" i="26"/>
  <c r="BN26" i="26"/>
  <c r="BO26" i="26"/>
  <c r="BP26" i="26"/>
  <c r="BQ26" i="26"/>
  <c r="BR26" i="26"/>
  <c r="BS26" i="26"/>
  <c r="BT26" i="26"/>
  <c r="BG27" i="26"/>
  <c r="BH27" i="26"/>
  <c r="BI27" i="26"/>
  <c r="BJ27" i="26"/>
  <c r="BK27" i="26"/>
  <c r="BL27" i="26"/>
  <c r="BM27" i="26"/>
  <c r="BN27" i="26"/>
  <c r="BO27" i="26"/>
  <c r="BP27" i="26"/>
  <c r="BQ27" i="26"/>
  <c r="BR27" i="26"/>
  <c r="BS27" i="26"/>
  <c r="BT27" i="26"/>
  <c r="BG28" i="26"/>
  <c r="BH28" i="26"/>
  <c r="BI28" i="26"/>
  <c r="BJ28" i="26"/>
  <c r="BK28" i="26"/>
  <c r="BL28" i="26"/>
  <c r="BM28" i="26"/>
  <c r="BN28" i="26"/>
  <c r="BO28" i="26"/>
  <c r="BP28" i="26"/>
  <c r="BQ28" i="26"/>
  <c r="BR28" i="26"/>
  <c r="BS28" i="26"/>
  <c r="BT28" i="26"/>
  <c r="BG29" i="26"/>
  <c r="BH29" i="26"/>
  <c r="BI29" i="26"/>
  <c r="BJ29" i="26"/>
  <c r="BK29" i="26"/>
  <c r="BL29" i="26"/>
  <c r="BM29" i="26"/>
  <c r="BN29" i="26"/>
  <c r="BO29" i="26"/>
  <c r="BP29" i="26"/>
  <c r="BQ29" i="26"/>
  <c r="BR29" i="26"/>
  <c r="BS29" i="26"/>
  <c r="BT29" i="26"/>
  <c r="BG30" i="26"/>
  <c r="BH30" i="26"/>
  <c r="BI30" i="26"/>
  <c r="BJ30" i="26"/>
  <c r="BK30" i="26"/>
  <c r="BL30" i="26"/>
  <c r="BM30" i="26"/>
  <c r="BN30" i="26"/>
  <c r="BO30" i="26"/>
  <c r="BP30" i="26"/>
  <c r="BQ30" i="26"/>
  <c r="BR30" i="26"/>
  <c r="BS30" i="26"/>
  <c r="BT30" i="26"/>
  <c r="BG31" i="26"/>
  <c r="BH31" i="26"/>
  <c r="BI31" i="26"/>
  <c r="BJ31" i="26"/>
  <c r="BK31" i="26"/>
  <c r="BL31" i="26"/>
  <c r="BM31" i="26"/>
  <c r="BN31" i="26"/>
  <c r="BO31" i="26"/>
  <c r="BP31" i="26"/>
  <c r="BQ31" i="26"/>
  <c r="BR31" i="26"/>
  <c r="BS31" i="26"/>
  <c r="BT31" i="26"/>
  <c r="BG32" i="26"/>
  <c r="BH32" i="26"/>
  <c r="BI32" i="26"/>
  <c r="BJ32" i="26"/>
  <c r="BK32" i="26"/>
  <c r="BL32" i="26"/>
  <c r="BM32" i="26"/>
  <c r="BN32" i="26"/>
  <c r="BO32" i="26"/>
  <c r="BP32" i="26"/>
  <c r="BQ32" i="26"/>
  <c r="BR32" i="26"/>
  <c r="BS32" i="26"/>
  <c r="BT32" i="26"/>
  <c r="BF22" i="26"/>
  <c r="BF23" i="26"/>
  <c r="BF24" i="26"/>
  <c r="BF25" i="26"/>
  <c r="BF26" i="26"/>
  <c r="BF27" i="26"/>
  <c r="BF28" i="26"/>
  <c r="BF29" i="26"/>
  <c r="BF30" i="26"/>
  <c r="BF31" i="26"/>
  <c r="BF32" i="26"/>
  <c r="BF21" i="26"/>
  <c r="BN4" i="26"/>
  <c r="BO4" i="26"/>
  <c r="BP4" i="26"/>
  <c r="BQ4" i="26"/>
  <c r="BR4" i="26"/>
  <c r="BS4" i="26"/>
  <c r="BT4" i="26"/>
  <c r="BN5" i="26"/>
  <c r="BO5" i="26"/>
  <c r="BP5" i="26"/>
  <c r="BQ5" i="26"/>
  <c r="BR5" i="26"/>
  <c r="BS5" i="26"/>
  <c r="BT5" i="26"/>
  <c r="BN6" i="26"/>
  <c r="BO6" i="26"/>
  <c r="BP6" i="26"/>
  <c r="BQ6" i="26"/>
  <c r="BR6" i="26"/>
  <c r="BS6" i="26"/>
  <c r="BT6" i="26"/>
  <c r="BN7" i="26"/>
  <c r="BO7" i="26"/>
  <c r="BP7" i="26"/>
  <c r="BQ7" i="26"/>
  <c r="BR7" i="26"/>
  <c r="BS7" i="26"/>
  <c r="BT7" i="26"/>
  <c r="BN8" i="26"/>
  <c r="BO8" i="26"/>
  <c r="BP8" i="26"/>
  <c r="BQ8" i="26"/>
  <c r="BR8" i="26"/>
  <c r="BS8" i="26"/>
  <c r="BT8" i="26"/>
  <c r="BN9" i="26"/>
  <c r="BO9" i="26"/>
  <c r="BP9" i="26"/>
  <c r="BQ9" i="26"/>
  <c r="BR9" i="26"/>
  <c r="BS9" i="26"/>
  <c r="BT9" i="26"/>
  <c r="BN10" i="26"/>
  <c r="BO10" i="26"/>
  <c r="BP10" i="26"/>
  <c r="BQ10" i="26"/>
  <c r="BR10" i="26"/>
  <c r="BS10" i="26"/>
  <c r="BT10" i="26"/>
  <c r="BN11" i="26"/>
  <c r="BO11" i="26"/>
  <c r="BP11" i="26"/>
  <c r="BQ11" i="26"/>
  <c r="BR11" i="26"/>
  <c r="BS11" i="26"/>
  <c r="BT11" i="26"/>
  <c r="BN12" i="26"/>
  <c r="BO12" i="26"/>
  <c r="BP12" i="26"/>
  <c r="BQ12" i="26"/>
  <c r="BR12" i="26"/>
  <c r="BS12" i="26"/>
  <c r="BT12" i="26"/>
  <c r="BN13" i="26"/>
  <c r="BO13" i="26"/>
  <c r="BP13" i="26"/>
  <c r="BQ13" i="26"/>
  <c r="BR13" i="26"/>
  <c r="BS13" i="26"/>
  <c r="BT13" i="26"/>
  <c r="BN14" i="26"/>
  <c r="BO14" i="26"/>
  <c r="BP14" i="26"/>
  <c r="BQ14" i="26"/>
  <c r="BR14" i="26"/>
  <c r="BS14" i="26"/>
  <c r="BT14" i="26"/>
  <c r="BN15" i="26"/>
  <c r="BO15" i="26"/>
  <c r="BP15" i="26"/>
  <c r="BQ15" i="26"/>
  <c r="BR15" i="26"/>
  <c r="BS15" i="26"/>
  <c r="BT15" i="26"/>
  <c r="BG4" i="26"/>
  <c r="BH4" i="26"/>
  <c r="BI4" i="26"/>
  <c r="BJ4" i="26"/>
  <c r="BK4" i="26"/>
  <c r="BL4" i="26"/>
  <c r="BM4" i="26"/>
  <c r="BG5" i="26"/>
  <c r="BH5" i="26"/>
  <c r="BI5" i="26"/>
  <c r="BJ5" i="26"/>
  <c r="BK5" i="26"/>
  <c r="BL5" i="26"/>
  <c r="BM5" i="26"/>
  <c r="BG6" i="26"/>
  <c r="BH6" i="26"/>
  <c r="BI6" i="26"/>
  <c r="BJ6" i="26"/>
  <c r="BK6" i="26"/>
  <c r="BL6" i="26"/>
  <c r="BM6" i="26"/>
  <c r="BG7" i="26"/>
  <c r="BH7" i="26"/>
  <c r="BI7" i="26"/>
  <c r="BJ7" i="26"/>
  <c r="BK7" i="26"/>
  <c r="BL7" i="26"/>
  <c r="BM7" i="26"/>
  <c r="BG8" i="26"/>
  <c r="BH8" i="26"/>
  <c r="BI8" i="26"/>
  <c r="BJ8" i="26"/>
  <c r="BK8" i="26"/>
  <c r="BL8" i="26"/>
  <c r="BM8" i="26"/>
  <c r="BG9" i="26"/>
  <c r="BH9" i="26"/>
  <c r="BI9" i="26"/>
  <c r="BJ9" i="26"/>
  <c r="BK9" i="26"/>
  <c r="BL9" i="26"/>
  <c r="BM9" i="26"/>
  <c r="BG10" i="26"/>
  <c r="BH10" i="26"/>
  <c r="BI10" i="26"/>
  <c r="BJ10" i="26"/>
  <c r="BK10" i="26"/>
  <c r="BL10" i="26"/>
  <c r="BM10" i="26"/>
  <c r="BG11" i="26"/>
  <c r="BH11" i="26"/>
  <c r="BI11" i="26"/>
  <c r="BJ11" i="26"/>
  <c r="BK11" i="26"/>
  <c r="BL11" i="26"/>
  <c r="BM11" i="26"/>
  <c r="BG12" i="26"/>
  <c r="BH12" i="26"/>
  <c r="BI12" i="26"/>
  <c r="BJ12" i="26"/>
  <c r="BK12" i="26"/>
  <c r="BL12" i="26"/>
  <c r="BM12" i="26"/>
  <c r="BG13" i="26"/>
  <c r="BH13" i="26"/>
  <c r="BI13" i="26"/>
  <c r="BJ13" i="26"/>
  <c r="BK13" i="26"/>
  <c r="BL13" i="26"/>
  <c r="BM13" i="26"/>
  <c r="BG14" i="26"/>
  <c r="BH14" i="26"/>
  <c r="BI14" i="26"/>
  <c r="BJ14" i="26"/>
  <c r="BK14" i="26"/>
  <c r="BL14" i="26"/>
  <c r="BM14" i="26"/>
  <c r="BG15" i="26"/>
  <c r="BH15" i="26"/>
  <c r="BI15" i="26"/>
  <c r="BJ15" i="26"/>
  <c r="BK15" i="26"/>
  <c r="BL15" i="26"/>
  <c r="BM15" i="26"/>
  <c r="BF5" i="26"/>
  <c r="BF6" i="26"/>
  <c r="BF7" i="26"/>
  <c r="BF8" i="26"/>
  <c r="BF9" i="26"/>
  <c r="BF10" i="26"/>
  <c r="BF11" i="26"/>
  <c r="BF12" i="26"/>
  <c r="BF13" i="26"/>
  <c r="BF14" i="26"/>
  <c r="BF15" i="26"/>
  <c r="BF4" i="26"/>
  <c r="AH6" i="77" l="1"/>
  <c r="AC8" i="77"/>
  <c r="AH12" i="76"/>
  <c r="AN16" i="34"/>
  <c r="BK16" i="34"/>
  <c r="BO16" i="34"/>
  <c r="BS16" i="34"/>
  <c r="AN33" i="34"/>
  <c r="BG16" i="40"/>
  <c r="BK16" i="40"/>
  <c r="BO16" i="40"/>
  <c r="BS16" i="40"/>
  <c r="AN16" i="41"/>
  <c r="BK16" i="41"/>
  <c r="BO16" i="41"/>
  <c r="BS16" i="41"/>
  <c r="AN33" i="41"/>
  <c r="E156" i="76"/>
  <c r="K86" i="81" s="1"/>
  <c r="AG14" i="77"/>
  <c r="Q67" i="80"/>
  <c r="AI6" i="76"/>
  <c r="U29" i="74"/>
  <c r="K36" i="80"/>
  <c r="N68" i="80"/>
  <c r="W68" i="80" s="1"/>
  <c r="AG68" i="80" s="1"/>
  <c r="AN16" i="44"/>
  <c r="BG16" i="44"/>
  <c r="BK16" i="44"/>
  <c r="BO16" i="44"/>
  <c r="BS16" i="44"/>
  <c r="AG6" i="76"/>
  <c r="AH13" i="76"/>
  <c r="AI6" i="77"/>
  <c r="AH14" i="77"/>
  <c r="O27" i="80"/>
  <c r="L36" i="80"/>
  <c r="P27" i="80"/>
  <c r="AS16" i="32"/>
  <c r="AW16" i="32"/>
  <c r="BA16" i="32"/>
  <c r="BH16" i="32"/>
  <c r="AO33" i="32"/>
  <c r="AS33" i="32"/>
  <c r="AW33" i="32"/>
  <c r="BA33" i="32"/>
  <c r="AO16" i="33"/>
  <c r="AS16" i="33"/>
  <c r="AW16" i="33"/>
  <c r="BA16" i="33"/>
  <c r="AO33" i="33"/>
  <c r="AS33" i="33"/>
  <c r="AW33" i="33"/>
  <c r="BA33" i="33"/>
  <c r="BH16" i="56"/>
  <c r="BL16" i="56"/>
  <c r="BP16" i="56"/>
  <c r="BT16" i="56"/>
  <c r="AS16" i="37"/>
  <c r="AW16" i="37"/>
  <c r="BA16" i="37"/>
  <c r="AO33" i="37"/>
  <c r="AS33" i="37"/>
  <c r="AW33" i="37"/>
  <c r="BA33" i="37"/>
  <c r="BH16" i="42"/>
  <c r="BL16" i="42"/>
  <c r="BP16" i="42"/>
  <c r="BT16" i="42"/>
  <c r="BH16" i="45"/>
  <c r="BL16" i="45"/>
  <c r="BP16" i="45"/>
  <c r="BT16" i="45"/>
  <c r="M63" i="74"/>
  <c r="M59" i="74"/>
  <c r="N58" i="74"/>
  <c r="AG12" i="76"/>
  <c r="O26" i="80"/>
  <c r="Q27" i="80"/>
  <c r="Q31" i="80"/>
  <c r="AD15" i="77"/>
  <c r="AH5" i="77"/>
  <c r="AI7" i="76"/>
  <c r="AP16" i="34"/>
  <c r="AT16" i="34"/>
  <c r="AX16" i="34"/>
  <c r="BB16" i="34"/>
  <c r="BI16" i="34"/>
  <c r="BM16" i="34"/>
  <c r="BQ16" i="34"/>
  <c r="AP33" i="34"/>
  <c r="AT33" i="34"/>
  <c r="AX33" i="34"/>
  <c r="BB33" i="34"/>
  <c r="BI16" i="35"/>
  <c r="BM16" i="35"/>
  <c r="BQ16" i="35"/>
  <c r="AP16" i="38"/>
  <c r="AT16" i="38"/>
  <c r="AX16" i="38"/>
  <c r="BB16" i="38"/>
  <c r="AP33" i="38"/>
  <c r="AT33" i="38"/>
  <c r="AX33" i="38"/>
  <c r="BB33" i="38"/>
  <c r="BC22" i="38"/>
  <c r="BC24" i="38"/>
  <c r="BC26" i="38"/>
  <c r="BC28" i="38"/>
  <c r="BC30" i="38"/>
  <c r="BC32" i="38"/>
  <c r="L66" i="74"/>
  <c r="L62" i="74"/>
  <c r="AG13" i="76"/>
  <c r="AF9" i="76"/>
  <c r="K34" i="80"/>
  <c r="AH14" i="76"/>
  <c r="AH4" i="77"/>
  <c r="AI4" i="77"/>
  <c r="AG11" i="77"/>
  <c r="AH11" i="77"/>
  <c r="G133" i="77"/>
  <c r="N82" i="81"/>
  <c r="AH10" i="76"/>
  <c r="AI10" i="76"/>
  <c r="BC4" i="37"/>
  <c r="BC6" i="37"/>
  <c r="BC8" i="37"/>
  <c r="BC10" i="37"/>
  <c r="BC12" i="37"/>
  <c r="BC14" i="37"/>
  <c r="V23" i="74"/>
  <c r="B150" i="74"/>
  <c r="E167" i="74"/>
  <c r="E150" i="74" s="1"/>
  <c r="E80" i="81" s="1"/>
  <c r="G132" i="77"/>
  <c r="N81" i="81"/>
  <c r="G129" i="77"/>
  <c r="N78" i="81"/>
  <c r="AI4" i="76"/>
  <c r="AG4" i="76"/>
  <c r="AE8" i="76"/>
  <c r="AG8" i="76" s="1"/>
  <c r="J79" i="81"/>
  <c r="D156" i="76"/>
  <c r="J86" i="81" s="1"/>
  <c r="AI12" i="76"/>
  <c r="N30" i="80"/>
  <c r="N66" i="80"/>
  <c r="P66" i="80" s="1"/>
  <c r="AG8" i="77"/>
  <c r="AH8" i="77"/>
  <c r="AE15" i="76"/>
  <c r="BU12" i="26"/>
  <c r="BQ16" i="26"/>
  <c r="BU30" i="26"/>
  <c r="BU22" i="26"/>
  <c r="AR16" i="32"/>
  <c r="AV16" i="32"/>
  <c r="BK16" i="32"/>
  <c r="BO16" i="32"/>
  <c r="AR33" i="32"/>
  <c r="AZ33" i="32"/>
  <c r="AN16" i="33"/>
  <c r="AR16" i="33"/>
  <c r="AV16" i="33"/>
  <c r="AZ16" i="33"/>
  <c r="BG16" i="33"/>
  <c r="BK16" i="33"/>
  <c r="BO16" i="33"/>
  <c r="BS16" i="33"/>
  <c r="AN33" i="33"/>
  <c r="AR33" i="33"/>
  <c r="AV33" i="33"/>
  <c r="AZ33" i="33"/>
  <c r="BC4" i="34"/>
  <c r="AS16" i="34"/>
  <c r="AW16" i="34"/>
  <c r="BA16" i="34"/>
  <c r="BH16" i="34"/>
  <c r="BL16" i="34"/>
  <c r="BP16" i="34"/>
  <c r="BT16" i="34"/>
  <c r="AO33" i="34"/>
  <c r="AS33" i="34"/>
  <c r="AW33" i="34"/>
  <c r="BA33" i="34"/>
  <c r="AP16" i="56"/>
  <c r="AT16" i="56"/>
  <c r="AX16" i="56"/>
  <c r="BB16" i="56"/>
  <c r="BI16" i="56"/>
  <c r="BM16" i="56"/>
  <c r="BQ16" i="56"/>
  <c r="AP33" i="56"/>
  <c r="AT33" i="56"/>
  <c r="AX33" i="56"/>
  <c r="BB33" i="56"/>
  <c r="AQ16" i="35"/>
  <c r="AU16" i="35"/>
  <c r="AY16" i="35"/>
  <c r="AQ33" i="35"/>
  <c r="AU33" i="35"/>
  <c r="AY33" i="35"/>
  <c r="AR16" i="36"/>
  <c r="AV16" i="36"/>
  <c r="AZ16" i="36"/>
  <c r="AR33" i="36"/>
  <c r="AV33" i="36"/>
  <c r="AZ33" i="36"/>
  <c r="AP16" i="37"/>
  <c r="G37" i="74"/>
  <c r="AD15" i="76"/>
  <c r="N25" i="80"/>
  <c r="N61" i="80"/>
  <c r="W22" i="80"/>
  <c r="N36" i="80"/>
  <c r="U60" i="80"/>
  <c r="AE60" i="80" s="1"/>
  <c r="U166" i="81" s="1"/>
  <c r="BU4" i="26"/>
  <c r="BU8" i="26"/>
  <c r="BU21" i="26"/>
  <c r="B108" i="74" s="1"/>
  <c r="B57" i="81" s="1"/>
  <c r="BU26" i="26"/>
  <c r="AN16" i="32"/>
  <c r="AZ16" i="32"/>
  <c r="BS16" i="32"/>
  <c r="AN33" i="32"/>
  <c r="AV33" i="32"/>
  <c r="AQ33" i="56"/>
  <c r="AU33" i="56"/>
  <c r="AY33" i="56"/>
  <c r="AR16" i="35"/>
  <c r="AV16" i="35"/>
  <c r="AZ16" i="35"/>
  <c r="BG16" i="35"/>
  <c r="BK16" i="35"/>
  <c r="BO16" i="35"/>
  <c r="BS16" i="35"/>
  <c r="AN33" i="35"/>
  <c r="AR33" i="35"/>
  <c r="AV33" i="35"/>
  <c r="AZ33" i="35"/>
  <c r="AS16" i="36"/>
  <c r="AW16" i="36"/>
  <c r="BA16" i="36"/>
  <c r="BH16" i="36"/>
  <c r="BL16" i="36"/>
  <c r="BP16" i="36"/>
  <c r="BT16" i="36"/>
  <c r="AO33" i="36"/>
  <c r="AS33" i="36"/>
  <c r="AW33" i="36"/>
  <c r="BA33" i="36"/>
  <c r="BC15" i="39"/>
  <c r="L70" i="80"/>
  <c r="BG16" i="43"/>
  <c r="BK16" i="43"/>
  <c r="BO16" i="43"/>
  <c r="BS16" i="43"/>
  <c r="AN33" i="43"/>
  <c r="BU30" i="44"/>
  <c r="BU32" i="44"/>
  <c r="BI16" i="45"/>
  <c r="BM16" i="45"/>
  <c r="BQ16" i="45"/>
  <c r="Q81" i="74"/>
  <c r="L64" i="74"/>
  <c r="T32" i="74"/>
  <c r="V26" i="74"/>
  <c r="W23" i="74"/>
  <c r="AD14" i="74"/>
  <c r="G131" i="77"/>
  <c r="N80" i="81"/>
  <c r="AH5" i="76"/>
  <c r="AG5" i="77"/>
  <c r="AI13" i="77"/>
  <c r="AT16" i="37"/>
  <c r="AX16" i="37"/>
  <c r="BB16" i="37"/>
  <c r="BI16" i="37"/>
  <c r="BM16" i="37"/>
  <c r="BQ16" i="37"/>
  <c r="AP33" i="37"/>
  <c r="AT33" i="37"/>
  <c r="AX33" i="37"/>
  <c r="BB33" i="37"/>
  <c r="AQ16" i="38"/>
  <c r="AU16" i="38"/>
  <c r="AY16" i="38"/>
  <c r="BJ16" i="38"/>
  <c r="BN16" i="38"/>
  <c r="BR16" i="38"/>
  <c r="AQ33" i="38"/>
  <c r="AU33" i="38"/>
  <c r="AY33" i="38"/>
  <c r="AN16" i="39"/>
  <c r="AR16" i="39"/>
  <c r="AV16" i="39"/>
  <c r="AZ16" i="39"/>
  <c r="BK16" i="39"/>
  <c r="BO16" i="39"/>
  <c r="BS16" i="39"/>
  <c r="AN33" i="39"/>
  <c r="AR33" i="39"/>
  <c r="AV33" i="39"/>
  <c r="AZ33" i="39"/>
  <c r="AO16" i="40"/>
  <c r="AS16" i="40"/>
  <c r="AW16" i="40"/>
  <c r="BA16" i="40"/>
  <c r="AO33" i="40"/>
  <c r="AS33" i="40"/>
  <c r="AW33" i="40"/>
  <c r="BA33" i="40"/>
  <c r="AP16" i="41"/>
  <c r="AT16" i="41"/>
  <c r="AX16" i="41"/>
  <c r="BB16" i="41"/>
  <c r="AP33" i="41"/>
  <c r="AT33" i="41"/>
  <c r="AX33" i="41"/>
  <c r="BB33" i="41"/>
  <c r="AQ16" i="42"/>
  <c r="AU16" i="42"/>
  <c r="AY16" i="42"/>
  <c r="AQ33" i="42"/>
  <c r="AU33" i="42"/>
  <c r="AY33" i="42"/>
  <c r="AR16" i="47"/>
  <c r="AV16" i="47"/>
  <c r="AZ16" i="47"/>
  <c r="AR33" i="47"/>
  <c r="AV33" i="47"/>
  <c r="AZ33" i="47"/>
  <c r="AO16" i="43"/>
  <c r="AS16" i="43"/>
  <c r="AW16" i="43"/>
  <c r="BA16" i="43"/>
  <c r="AO33" i="43"/>
  <c r="AS33" i="43"/>
  <c r="AW33" i="43"/>
  <c r="BA33" i="43"/>
  <c r="AT16" i="44"/>
  <c r="AX16" i="44"/>
  <c r="BB16" i="44"/>
  <c r="AP33" i="44"/>
  <c r="AT33" i="44"/>
  <c r="AX33" i="44"/>
  <c r="BB33" i="44"/>
  <c r="AQ16" i="45"/>
  <c r="AU16" i="45"/>
  <c r="AY16" i="45"/>
  <c r="BJ16" i="45"/>
  <c r="BN16" i="45"/>
  <c r="BR16" i="45"/>
  <c r="AQ33" i="45"/>
  <c r="AU33" i="45"/>
  <c r="AY33" i="45"/>
  <c r="AN16" i="48"/>
  <c r="AR16" i="48"/>
  <c r="AV16" i="48"/>
  <c r="AZ16" i="48"/>
  <c r="BG16" i="48"/>
  <c r="BK16" i="48"/>
  <c r="BO16" i="48"/>
  <c r="BS16" i="48"/>
  <c r="AN33" i="48"/>
  <c r="AR33" i="48"/>
  <c r="AV33" i="48"/>
  <c r="AZ33" i="48"/>
  <c r="G36" i="74"/>
  <c r="V27" i="74"/>
  <c r="B173" i="74"/>
  <c r="AD3" i="74"/>
  <c r="C74" i="81"/>
  <c r="AC13" i="74"/>
  <c r="B84" i="81"/>
  <c r="AC11" i="74"/>
  <c r="B82" i="81"/>
  <c r="B151" i="74"/>
  <c r="B81" i="81" s="1"/>
  <c r="B149" i="74"/>
  <c r="B79" i="81" s="1"/>
  <c r="AC7" i="74"/>
  <c r="B78" i="81"/>
  <c r="AC5" i="74"/>
  <c r="B76" i="81"/>
  <c r="U26" i="74"/>
  <c r="AG10" i="76"/>
  <c r="Q32" i="80"/>
  <c r="AD33" i="80"/>
  <c r="AD52" i="80" s="1"/>
  <c r="L86" i="80"/>
  <c r="U74" i="80"/>
  <c r="AE74" i="80" s="1"/>
  <c r="V31" i="74"/>
  <c r="Q78" i="74"/>
  <c r="Q79" i="74"/>
  <c r="E166" i="74"/>
  <c r="E149" i="74" s="1"/>
  <c r="E79" i="81" s="1"/>
  <c r="E145" i="74"/>
  <c r="E75" i="81" s="1"/>
  <c r="AH7" i="76"/>
  <c r="AH11" i="76"/>
  <c r="AD50" i="80"/>
  <c r="AD43" i="80"/>
  <c r="H80" i="81"/>
  <c r="AC9" i="76"/>
  <c r="AI9" i="76" s="1"/>
  <c r="BC4" i="40"/>
  <c r="AP16" i="40"/>
  <c r="AT16" i="40"/>
  <c r="AX16" i="40"/>
  <c r="BB16" i="40"/>
  <c r="AT33" i="40"/>
  <c r="AX33" i="40"/>
  <c r="BB33" i="40"/>
  <c r="AQ16" i="41"/>
  <c r="AU16" i="41"/>
  <c r="AY16" i="41"/>
  <c r="AQ33" i="41"/>
  <c r="AU33" i="41"/>
  <c r="AY33" i="41"/>
  <c r="BC4" i="42"/>
  <c r="AR16" i="42"/>
  <c r="AV16" i="42"/>
  <c r="AZ16" i="42"/>
  <c r="BC6" i="42"/>
  <c r="BC8" i="42"/>
  <c r="BC10" i="42"/>
  <c r="BC12" i="42"/>
  <c r="BC14" i="42"/>
  <c r="AR33" i="42"/>
  <c r="AV33" i="42"/>
  <c r="AZ33" i="42"/>
  <c r="BC23" i="42"/>
  <c r="BC25" i="42"/>
  <c r="BC27" i="42"/>
  <c r="BC29" i="42"/>
  <c r="BC31" i="42"/>
  <c r="AO16" i="47"/>
  <c r="AS16" i="47"/>
  <c r="AW16" i="47"/>
  <c r="BA16" i="47"/>
  <c r="AO33" i="47"/>
  <c r="AS33" i="47"/>
  <c r="AW33" i="47"/>
  <c r="BA33" i="47"/>
  <c r="AP16" i="43"/>
  <c r="AT16" i="43"/>
  <c r="AX16" i="43"/>
  <c r="BB16" i="43"/>
  <c r="BC5" i="43"/>
  <c r="BC7" i="43"/>
  <c r="BC9" i="43"/>
  <c r="BC11" i="43"/>
  <c r="BC13" i="43"/>
  <c r="BC15" i="43"/>
  <c r="AP33" i="43"/>
  <c r="AT33" i="43"/>
  <c r="AX33" i="43"/>
  <c r="BB33" i="43"/>
  <c r="BC22" i="43"/>
  <c r="BC24" i="43"/>
  <c r="BC26" i="43"/>
  <c r="BC28" i="43"/>
  <c r="BC30" i="43"/>
  <c r="BC32" i="43"/>
  <c r="AQ16" i="44"/>
  <c r="AU16" i="44"/>
  <c r="AY16" i="44"/>
  <c r="AQ33" i="44"/>
  <c r="AU33" i="44"/>
  <c r="AY33" i="44"/>
  <c r="BC4" i="45"/>
  <c r="AR16" i="45"/>
  <c r="AV16" i="45"/>
  <c r="AZ16" i="45"/>
  <c r="BC6" i="45"/>
  <c r="BC8" i="45"/>
  <c r="BC10" i="45"/>
  <c r="BC12" i="45"/>
  <c r="BC14" i="45"/>
  <c r="AR33" i="45"/>
  <c r="AV33" i="45"/>
  <c r="AZ33" i="45"/>
  <c r="BC31" i="45"/>
  <c r="AO16" i="48"/>
  <c r="AS16" i="48"/>
  <c r="AW16" i="48"/>
  <c r="BA16" i="48"/>
  <c r="AO33" i="48"/>
  <c r="AR16" i="41"/>
  <c r="AV16" i="41"/>
  <c r="AZ16" i="41"/>
  <c r="AR33" i="41"/>
  <c r="AV33" i="41"/>
  <c r="AZ33" i="41"/>
  <c r="AO16" i="42"/>
  <c r="AS16" i="42"/>
  <c r="AW16" i="42"/>
  <c r="BA16" i="42"/>
  <c r="AO33" i="42"/>
  <c r="AS33" i="42"/>
  <c r="AW33" i="42"/>
  <c r="BA33" i="42"/>
  <c r="AP16" i="47"/>
  <c r="AT16" i="47"/>
  <c r="AX16" i="47"/>
  <c r="BB16" i="47"/>
  <c r="AP33" i="47"/>
  <c r="AT33" i="47"/>
  <c r="AX33" i="47"/>
  <c r="BB33" i="47"/>
  <c r="AQ16" i="43"/>
  <c r="AU16" i="43"/>
  <c r="AY16" i="43"/>
  <c r="AQ33" i="43"/>
  <c r="AU33" i="43"/>
  <c r="AY33" i="43"/>
  <c r="AR16" i="44"/>
  <c r="AV16" i="44"/>
  <c r="AZ16" i="44"/>
  <c r="AR33" i="44"/>
  <c r="AV33" i="44"/>
  <c r="AZ33" i="44"/>
  <c r="AO16" i="45"/>
  <c r="AS16" i="45"/>
  <c r="AW16" i="45"/>
  <c r="BA16" i="45"/>
  <c r="AO33" i="45"/>
  <c r="AS33" i="45"/>
  <c r="AW33" i="45"/>
  <c r="BA33" i="45"/>
  <c r="AP16" i="48"/>
  <c r="AT16" i="48"/>
  <c r="AX16" i="48"/>
  <c r="BB16" i="48"/>
  <c r="AP33" i="48"/>
  <c r="AT33" i="48"/>
  <c r="AX33" i="48"/>
  <c r="BB33" i="48"/>
  <c r="BC24" i="32"/>
  <c r="BC26" i="32"/>
  <c r="BC5" i="33"/>
  <c r="BC26" i="33"/>
  <c r="BC28" i="33"/>
  <c r="BC30" i="33"/>
  <c r="BC32" i="33"/>
  <c r="BC28" i="32"/>
  <c r="BC30" i="32"/>
  <c r="AP16" i="32"/>
  <c r="BC22" i="32"/>
  <c r="BC32" i="32"/>
  <c r="BC22" i="33"/>
  <c r="BC24" i="33"/>
  <c r="AT16" i="32"/>
  <c r="BC4" i="35"/>
  <c r="BC6" i="35"/>
  <c r="BC8" i="35"/>
  <c r="BC10" i="35"/>
  <c r="BC12" i="35"/>
  <c r="BC14" i="35"/>
  <c r="AX16" i="32"/>
  <c r="AT33" i="32"/>
  <c r="AX33" i="32"/>
  <c r="AP16" i="33"/>
  <c r="AT16" i="33"/>
  <c r="AX16" i="33"/>
  <c r="BB16" i="33"/>
  <c r="AP33" i="33"/>
  <c r="AT33" i="33"/>
  <c r="AX33" i="33"/>
  <c r="BB33" i="33"/>
  <c r="AQ16" i="34"/>
  <c r="AU16" i="34"/>
  <c r="AY16" i="34"/>
  <c r="BC15" i="34"/>
  <c r="AQ33" i="34"/>
  <c r="AU33" i="34"/>
  <c r="AY33" i="34"/>
  <c r="AR16" i="56"/>
  <c r="AV16" i="56"/>
  <c r="AZ16" i="56"/>
  <c r="AR33" i="56"/>
  <c r="AV33" i="56"/>
  <c r="AZ33" i="56"/>
  <c r="AO16" i="35"/>
  <c r="AS16" i="35"/>
  <c r="AW16" i="35"/>
  <c r="BA16" i="35"/>
  <c r="AO33" i="35"/>
  <c r="AS33" i="35"/>
  <c r="AW33" i="35"/>
  <c r="BA33" i="35"/>
  <c r="AP16" i="36"/>
  <c r="AT16" i="36"/>
  <c r="AX16" i="36"/>
  <c r="BB16" i="36"/>
  <c r="AP33" i="36"/>
  <c r="AT33" i="36"/>
  <c r="AX33" i="36"/>
  <c r="BB33" i="36"/>
  <c r="AQ16" i="37"/>
  <c r="AU16" i="37"/>
  <c r="AY16" i="37"/>
  <c r="BC7" i="37"/>
  <c r="BC9" i="37"/>
  <c r="BC11" i="37"/>
  <c r="BC13" i="37"/>
  <c r="AQ33" i="37"/>
  <c r="AU33" i="37"/>
  <c r="AY33" i="37"/>
  <c r="BC23" i="37"/>
  <c r="C5" i="77" s="1"/>
  <c r="BC25" i="37"/>
  <c r="BC27" i="37"/>
  <c r="C9" i="77" s="1"/>
  <c r="BC29" i="37"/>
  <c r="AR16" i="38"/>
  <c r="AV16" i="38"/>
  <c r="AZ16" i="38"/>
  <c r="AR33" i="38"/>
  <c r="AV33" i="38"/>
  <c r="AZ33" i="38"/>
  <c r="BC23" i="38"/>
  <c r="BC25" i="38"/>
  <c r="BC27" i="38"/>
  <c r="BC29" i="38"/>
  <c r="BC31" i="38"/>
  <c r="AS16" i="39"/>
  <c r="AW16" i="39"/>
  <c r="BA16" i="39"/>
  <c r="AO33" i="39"/>
  <c r="AS33" i="39"/>
  <c r="AW33" i="39"/>
  <c r="BA33" i="39"/>
  <c r="BC22" i="39"/>
  <c r="BC24" i="39"/>
  <c r="BC26" i="39"/>
  <c r="BC28" i="39"/>
  <c r="BC30" i="39"/>
  <c r="BC32" i="39"/>
  <c r="BC5" i="40"/>
  <c r="BC7" i="40"/>
  <c r="BC9" i="40"/>
  <c r="BC11" i="40"/>
  <c r="BC13" i="40"/>
  <c r="BC15" i="40"/>
  <c r="BB16" i="32"/>
  <c r="AP33" i="32"/>
  <c r="BB33" i="32"/>
  <c r="AQ16" i="32"/>
  <c r="AU16" i="32"/>
  <c r="AY16" i="32"/>
  <c r="BC5" i="32"/>
  <c r="B4" i="76" s="1"/>
  <c r="H41" i="81" s="1"/>
  <c r="BC7" i="32"/>
  <c r="BC9" i="32"/>
  <c r="BC11" i="32"/>
  <c r="BC13" i="32"/>
  <c r="B12" i="76" s="1"/>
  <c r="H49" i="81" s="1"/>
  <c r="BC15" i="32"/>
  <c r="AQ33" i="32"/>
  <c r="AU33" i="32"/>
  <c r="AY33" i="32"/>
  <c r="AQ16" i="33"/>
  <c r="AU16" i="33"/>
  <c r="AY16" i="33"/>
  <c r="BC7" i="33"/>
  <c r="B6" i="77" s="1"/>
  <c r="BC9" i="33"/>
  <c r="BC11" i="33"/>
  <c r="B10" i="77" s="1"/>
  <c r="BC13" i="33"/>
  <c r="B12" i="77" s="1"/>
  <c r="N49" i="81" s="1"/>
  <c r="BC15" i="33"/>
  <c r="B14" i="77" s="1"/>
  <c r="N51" i="81" s="1"/>
  <c r="AQ33" i="33"/>
  <c r="AU33" i="33"/>
  <c r="AY33" i="33"/>
  <c r="AR16" i="34"/>
  <c r="AV16" i="34"/>
  <c r="AZ16" i="34"/>
  <c r="AR33" i="34"/>
  <c r="AV33" i="34"/>
  <c r="AZ33" i="34"/>
  <c r="BC4" i="56"/>
  <c r="AS16" i="56"/>
  <c r="AW16" i="56"/>
  <c r="BA16" i="56"/>
  <c r="BC6" i="56"/>
  <c r="BC8" i="56"/>
  <c r="BC10" i="56"/>
  <c r="BC12" i="56"/>
  <c r="BC14" i="56"/>
  <c r="AO33" i="56"/>
  <c r="AS33" i="56"/>
  <c r="AW33" i="56"/>
  <c r="BA33" i="56"/>
  <c r="AP16" i="35"/>
  <c r="AT16" i="35"/>
  <c r="AX16" i="35"/>
  <c r="BB16" i="35"/>
  <c r="BC5" i="35"/>
  <c r="BC7" i="35"/>
  <c r="BC9" i="35"/>
  <c r="BC11" i="35"/>
  <c r="BC13" i="35"/>
  <c r="BC15" i="35"/>
  <c r="AT33" i="35"/>
  <c r="AX33" i="35"/>
  <c r="BB33" i="35"/>
  <c r="AQ16" i="36"/>
  <c r="AU16" i="36"/>
  <c r="AY16" i="36"/>
  <c r="AQ33" i="36"/>
  <c r="AU33" i="36"/>
  <c r="AY33" i="36"/>
  <c r="AR16" i="37"/>
  <c r="AV16" i="37"/>
  <c r="AZ16" i="37"/>
  <c r="AR33" i="37"/>
  <c r="AV33" i="37"/>
  <c r="AZ33" i="37"/>
  <c r="AO16" i="38"/>
  <c r="AS16" i="38"/>
  <c r="AW16" i="38"/>
  <c r="BA16" i="38"/>
  <c r="AO33" i="38"/>
  <c r="AS33" i="38"/>
  <c r="AW33" i="38"/>
  <c r="BA33" i="38"/>
  <c r="AP16" i="39"/>
  <c r="AT16" i="39"/>
  <c r="BB16" i="39"/>
  <c r="AP33" i="39"/>
  <c r="AT33" i="39"/>
  <c r="AX33" i="39"/>
  <c r="BB33" i="39"/>
  <c r="AR16" i="40"/>
  <c r="AV16" i="40"/>
  <c r="AZ16" i="40"/>
  <c r="BC6" i="40"/>
  <c r="BC8" i="40"/>
  <c r="BC10" i="40"/>
  <c r="D9" i="76" s="1"/>
  <c r="J46" i="81" s="1"/>
  <c r="BC12" i="40"/>
  <c r="BC14" i="40"/>
  <c r="AR33" i="40"/>
  <c r="AV33" i="40"/>
  <c r="AZ33" i="40"/>
  <c r="AS16" i="41"/>
  <c r="AW16" i="41"/>
  <c r="BA16" i="41"/>
  <c r="AO33" i="41"/>
  <c r="AS33" i="41"/>
  <c r="AW33" i="41"/>
  <c r="BA33" i="41"/>
  <c r="AP16" i="42"/>
  <c r="AT16" i="42"/>
  <c r="AX16" i="42"/>
  <c r="BB16" i="42"/>
  <c r="BC5" i="42"/>
  <c r="BC7" i="42"/>
  <c r="BC9" i="42"/>
  <c r="BC11" i="42"/>
  <c r="BC13" i="42"/>
  <c r="BC15" i="42"/>
  <c r="AP33" i="42"/>
  <c r="AT33" i="42"/>
  <c r="AX33" i="42"/>
  <c r="BB33" i="42"/>
  <c r="BC24" i="42"/>
  <c r="BC26" i="42"/>
  <c r="BC28" i="42"/>
  <c r="BC30" i="42"/>
  <c r="BC32" i="42"/>
  <c r="AQ16" i="47"/>
  <c r="AU16" i="47"/>
  <c r="AY16" i="47"/>
  <c r="AQ33" i="47"/>
  <c r="AU33" i="47"/>
  <c r="AY33" i="47"/>
  <c r="BC4" i="43"/>
  <c r="AR16" i="43"/>
  <c r="AV16" i="43"/>
  <c r="AZ16" i="43"/>
  <c r="BC6" i="43"/>
  <c r="BC8" i="43"/>
  <c r="BC10" i="43"/>
  <c r="BC12" i="43"/>
  <c r="BC14" i="43"/>
  <c r="AR33" i="43"/>
  <c r="AV33" i="43"/>
  <c r="AZ33" i="43"/>
  <c r="BC23" i="43"/>
  <c r="BC25" i="43"/>
  <c r="BC27" i="43"/>
  <c r="BC29" i="43"/>
  <c r="BC31" i="43"/>
  <c r="AO16" i="44"/>
  <c r="AS16" i="44"/>
  <c r="AW16" i="44"/>
  <c r="BA16" i="44"/>
  <c r="AO33" i="44"/>
  <c r="AS33" i="44"/>
  <c r="AW33" i="44"/>
  <c r="BA33" i="44"/>
  <c r="AP16" i="45"/>
  <c r="AT16" i="45"/>
  <c r="AX16" i="45"/>
  <c r="BB16" i="45"/>
  <c r="BC5" i="45"/>
  <c r="BC7" i="45"/>
  <c r="BC9" i="45"/>
  <c r="BC11" i="45"/>
  <c r="BC13" i="45"/>
  <c r="BC15" i="45"/>
  <c r="AT33" i="45"/>
  <c r="AX33" i="45"/>
  <c r="BB33" i="45"/>
  <c r="BC32" i="45"/>
  <c r="AQ16" i="48"/>
  <c r="AU16" i="48"/>
  <c r="AY16" i="48"/>
  <c r="BC4" i="47"/>
  <c r="BC6" i="47"/>
  <c r="BC8" i="47"/>
  <c r="BC10" i="47"/>
  <c r="BC12" i="47"/>
  <c r="BC14" i="47"/>
  <c r="BC29" i="47"/>
  <c r="BC31" i="47"/>
  <c r="BC22" i="44"/>
  <c r="BC24" i="44"/>
  <c r="BC26" i="44"/>
  <c r="BC28" i="44"/>
  <c r="BC30" i="44"/>
  <c r="BC32" i="44"/>
  <c r="BC14" i="48"/>
  <c r="AS33" i="48"/>
  <c r="AW33" i="48"/>
  <c r="BA33" i="48"/>
  <c r="AQ16" i="40"/>
  <c r="AU16" i="40"/>
  <c r="AY16" i="40"/>
  <c r="AQ33" i="40"/>
  <c r="AU33" i="40"/>
  <c r="AY33" i="40"/>
  <c r="BC5" i="47"/>
  <c r="BC7" i="47"/>
  <c r="BC9" i="47"/>
  <c r="BC11" i="47"/>
  <c r="BC13" i="47"/>
  <c r="BC15" i="47"/>
  <c r="BC23" i="47"/>
  <c r="BC25" i="47"/>
  <c r="BC26" i="47"/>
  <c r="D8" i="80" s="1"/>
  <c r="V45" i="81" s="1"/>
  <c r="BC27" i="47"/>
  <c r="BC30" i="47"/>
  <c r="BC32" i="47"/>
  <c r="BC5" i="44"/>
  <c r="E4" i="76" s="1"/>
  <c r="BC7" i="44"/>
  <c r="BC9" i="44"/>
  <c r="BC11" i="44"/>
  <c r="E10" i="76" s="1"/>
  <c r="BC13" i="44"/>
  <c r="E12" i="76" s="1"/>
  <c r="BC15" i="44"/>
  <c r="BC21" i="44"/>
  <c r="BC23" i="44"/>
  <c r="BC25" i="44"/>
  <c r="BC27" i="44"/>
  <c r="BC29" i="44"/>
  <c r="BC31" i="44"/>
  <c r="BC13" i="48"/>
  <c r="BC15" i="48"/>
  <c r="BC31" i="48"/>
  <c r="BC22" i="34"/>
  <c r="BC24" i="34"/>
  <c r="BC26" i="34"/>
  <c r="BC28" i="34"/>
  <c r="BC4" i="41"/>
  <c r="BC6" i="41"/>
  <c r="BC8" i="41"/>
  <c r="BC10" i="41"/>
  <c r="BC12" i="41"/>
  <c r="BC14" i="41"/>
  <c r="BC22" i="41"/>
  <c r="BC24" i="41"/>
  <c r="BC26" i="41"/>
  <c r="BC28" i="41"/>
  <c r="BC30" i="41"/>
  <c r="BC32" i="41"/>
  <c r="BU22" i="44"/>
  <c r="BU24" i="44"/>
  <c r="BU26" i="44"/>
  <c r="BU28" i="44"/>
  <c r="BC21" i="45"/>
  <c r="BU6" i="48"/>
  <c r="E110" i="80" s="1"/>
  <c r="AF5" i="80" s="1"/>
  <c r="BC7" i="48"/>
  <c r="BU8" i="48"/>
  <c r="E112" i="80" s="1"/>
  <c r="BC9" i="48"/>
  <c r="BU10" i="48"/>
  <c r="E114" i="80" s="1"/>
  <c r="W63" i="81" s="1"/>
  <c r="BC11" i="48"/>
  <c r="BU12" i="48"/>
  <c r="E116" i="80" s="1"/>
  <c r="BU14" i="48"/>
  <c r="E118" i="80" s="1"/>
  <c r="BU21" i="48"/>
  <c r="BC23" i="48"/>
  <c r="BU23" i="48"/>
  <c r="BC25" i="48"/>
  <c r="BU25" i="48"/>
  <c r="BC27" i="48"/>
  <c r="BU27" i="48"/>
  <c r="BC29" i="48"/>
  <c r="BU29" i="48"/>
  <c r="BU31" i="48"/>
  <c r="BL16" i="32"/>
  <c r="BP16" i="32"/>
  <c r="BT16" i="32"/>
  <c r="BC22" i="35"/>
  <c r="BC8" i="38"/>
  <c r="BH16" i="40"/>
  <c r="BL16" i="40"/>
  <c r="BP16" i="40"/>
  <c r="BT16" i="40"/>
  <c r="BI16" i="41"/>
  <c r="BM16" i="41"/>
  <c r="BQ16" i="41"/>
  <c r="BJ16" i="42"/>
  <c r="BN16" i="42"/>
  <c r="BR16" i="42"/>
  <c r="BG16" i="47"/>
  <c r="BK16" i="47"/>
  <c r="BO16" i="47"/>
  <c r="BS16" i="47"/>
  <c r="BI16" i="44"/>
  <c r="BM16" i="44"/>
  <c r="BQ16" i="44"/>
  <c r="BC5" i="41"/>
  <c r="BC7" i="41"/>
  <c r="BC9" i="41"/>
  <c r="BC11" i="41"/>
  <c r="BC13" i="41"/>
  <c r="D12" i="77" s="1"/>
  <c r="BC15" i="41"/>
  <c r="D14" i="77" s="1"/>
  <c r="BC23" i="41"/>
  <c r="BC25" i="41"/>
  <c r="BC27" i="41"/>
  <c r="D9" i="77" s="1"/>
  <c r="BC29" i="41"/>
  <c r="BC5" i="48"/>
  <c r="BC6" i="48"/>
  <c r="BC8" i="48"/>
  <c r="E7" i="80" s="1"/>
  <c r="BC22" i="48"/>
  <c r="BC24" i="48"/>
  <c r="BC26" i="48"/>
  <c r="BC28" i="48"/>
  <c r="BC32" i="48"/>
  <c r="BC4" i="32"/>
  <c r="BU5" i="32"/>
  <c r="BC6" i="32"/>
  <c r="BU7" i="32"/>
  <c r="BC8" i="32"/>
  <c r="BU9" i="32"/>
  <c r="BC10" i="32"/>
  <c r="BU11" i="32"/>
  <c r="BC12" i="32"/>
  <c r="BU13" i="32"/>
  <c r="BC14" i="32"/>
  <c r="BU15" i="32"/>
  <c r="BU22" i="32"/>
  <c r="BU24" i="32"/>
  <c r="BU26" i="32"/>
  <c r="BU28" i="32"/>
  <c r="BU30" i="32"/>
  <c r="BU32" i="32"/>
  <c r="BH16" i="33"/>
  <c r="BL16" i="33"/>
  <c r="BP16" i="33"/>
  <c r="BT16" i="33"/>
  <c r="BU5" i="33"/>
  <c r="BC6" i="33"/>
  <c r="BU7" i="33"/>
  <c r="BC8" i="33"/>
  <c r="BU9" i="33"/>
  <c r="BC10" i="33"/>
  <c r="BU11" i="33"/>
  <c r="BC12" i="33"/>
  <c r="BU13" i="33"/>
  <c r="B117" i="77" s="1"/>
  <c r="BC14" i="33"/>
  <c r="BU15" i="33"/>
  <c r="BU22" i="33"/>
  <c r="BU24" i="33"/>
  <c r="BU26" i="33"/>
  <c r="BU28" i="33"/>
  <c r="BU30" i="33"/>
  <c r="BU32" i="33"/>
  <c r="BC5" i="56"/>
  <c r="BC7" i="56"/>
  <c r="BC9" i="56"/>
  <c r="BC11" i="56"/>
  <c r="BC13" i="56"/>
  <c r="BI16" i="26"/>
  <c r="BI16" i="32"/>
  <c r="BM16" i="32"/>
  <c r="BQ16" i="32"/>
  <c r="BM16" i="33"/>
  <c r="BQ16" i="33"/>
  <c r="BJ16" i="34"/>
  <c r="BN16" i="34"/>
  <c r="BR16" i="34"/>
  <c r="AN16" i="56"/>
  <c r="BK16" i="56"/>
  <c r="BO16" i="56"/>
  <c r="BS16" i="56"/>
  <c r="AN33" i="56"/>
  <c r="BH16" i="35"/>
  <c r="BL16" i="35"/>
  <c r="BP16" i="35"/>
  <c r="BT16" i="35"/>
  <c r="BU5" i="35"/>
  <c r="BU7" i="35"/>
  <c r="BU9" i="35"/>
  <c r="BU11" i="35"/>
  <c r="BU13" i="35"/>
  <c r="BU15" i="35"/>
  <c r="BU22" i="35"/>
  <c r="BM16" i="26"/>
  <c r="BC23" i="32"/>
  <c r="BC25" i="32"/>
  <c r="BC27" i="32"/>
  <c r="BC29" i="32"/>
  <c r="BC31" i="32"/>
  <c r="BC23" i="33"/>
  <c r="BC25" i="33"/>
  <c r="BC27" i="33"/>
  <c r="BC29" i="33"/>
  <c r="BC31" i="33"/>
  <c r="BU5" i="56"/>
  <c r="BU7" i="56"/>
  <c r="BU9" i="56"/>
  <c r="BU11" i="56"/>
  <c r="BU13" i="56"/>
  <c r="BU15" i="56"/>
  <c r="BC22" i="56"/>
  <c r="BU22" i="56"/>
  <c r="BC24" i="56"/>
  <c r="BU24" i="56"/>
  <c r="BC26" i="56"/>
  <c r="BU26" i="56"/>
  <c r="BC28" i="56"/>
  <c r="BU28" i="56"/>
  <c r="BC30" i="56"/>
  <c r="BU30" i="56"/>
  <c r="BC32" i="56"/>
  <c r="BC24" i="35"/>
  <c r="BC26" i="35"/>
  <c r="C8" i="74" s="1"/>
  <c r="BC28" i="35"/>
  <c r="C10" i="74" s="1"/>
  <c r="C47" i="81" s="1"/>
  <c r="BC30" i="35"/>
  <c r="BC32" i="35"/>
  <c r="BC4" i="36"/>
  <c r="BC6" i="36"/>
  <c r="BC8" i="36"/>
  <c r="BC10" i="36"/>
  <c r="BC12" i="36"/>
  <c r="BC14" i="36"/>
  <c r="BC6" i="38"/>
  <c r="BU6" i="38"/>
  <c r="BU8" i="38"/>
  <c r="BC10" i="38"/>
  <c r="BU10" i="38"/>
  <c r="BC12" i="38"/>
  <c r="BU12" i="38"/>
  <c r="BC14" i="38"/>
  <c r="BU14" i="38"/>
  <c r="BC15" i="38"/>
  <c r="BU21" i="38"/>
  <c r="BU23" i="38"/>
  <c r="BU25" i="38"/>
  <c r="BU27" i="38"/>
  <c r="BU29" i="38"/>
  <c r="BU31" i="38"/>
  <c r="BU5" i="40"/>
  <c r="D109" i="76" s="1"/>
  <c r="J58" i="81" s="1"/>
  <c r="BU7" i="40"/>
  <c r="D111" i="76" s="1"/>
  <c r="V61" i="76" s="1"/>
  <c r="AF61" i="76" s="1"/>
  <c r="J167" i="81" s="1"/>
  <c r="BU9" i="40"/>
  <c r="D113" i="76" s="1"/>
  <c r="J62" i="81" s="1"/>
  <c r="BU24" i="35"/>
  <c r="BU26" i="35"/>
  <c r="BU28" i="35"/>
  <c r="BU30" i="35"/>
  <c r="BU32" i="35"/>
  <c r="BI16" i="36"/>
  <c r="BM16" i="36"/>
  <c r="BQ16" i="36"/>
  <c r="BJ16" i="37"/>
  <c r="BN16" i="37"/>
  <c r="BR16" i="37"/>
  <c r="BC5" i="37"/>
  <c r="BU6" i="37"/>
  <c r="BU8" i="37"/>
  <c r="BU10" i="37"/>
  <c r="BU12" i="37"/>
  <c r="BU14" i="37"/>
  <c r="BU21" i="37"/>
  <c r="BC31" i="37"/>
  <c r="C13" i="77" s="1"/>
  <c r="AN16" i="38"/>
  <c r="BG16" i="38"/>
  <c r="BK16" i="38"/>
  <c r="BO16" i="38"/>
  <c r="BS16" i="38"/>
  <c r="AN33" i="38"/>
  <c r="BH16" i="39"/>
  <c r="BL16" i="39"/>
  <c r="BP16" i="39"/>
  <c r="BT16" i="39"/>
  <c r="BI16" i="40"/>
  <c r="BC21" i="40"/>
  <c r="BC23" i="40"/>
  <c r="D5" i="76" s="1"/>
  <c r="BC25" i="40"/>
  <c r="BC27" i="40"/>
  <c r="BC29" i="40"/>
  <c r="BC31" i="40"/>
  <c r="D13" i="76" s="1"/>
  <c r="BJ16" i="41"/>
  <c r="BN16" i="41"/>
  <c r="BR16" i="41"/>
  <c r="D4" i="77"/>
  <c r="P41" i="81" s="1"/>
  <c r="BU6" i="41"/>
  <c r="D110" i="77" s="1"/>
  <c r="BU8" i="41"/>
  <c r="D112" i="77" s="1"/>
  <c r="P61" i="81" s="1"/>
  <c r="D8" i="77"/>
  <c r="AN8" i="77" s="1"/>
  <c r="P132" i="81" s="1"/>
  <c r="BU10" i="41"/>
  <c r="D114" i="77" s="1"/>
  <c r="BU12" i="41"/>
  <c r="D116" i="77" s="1"/>
  <c r="P65" i="81" s="1"/>
  <c r="BU14" i="41"/>
  <c r="D118" i="77" s="1"/>
  <c r="BU21" i="41"/>
  <c r="BU23" i="41"/>
  <c r="BU25" i="41"/>
  <c r="BU27" i="41"/>
  <c r="BU29" i="41"/>
  <c r="BC31" i="41"/>
  <c r="BU31" i="41"/>
  <c r="BG16" i="42"/>
  <c r="BK16" i="42"/>
  <c r="BO16" i="42"/>
  <c r="BS16" i="42"/>
  <c r="AN33" i="42"/>
  <c r="BH16" i="47"/>
  <c r="BL16" i="47"/>
  <c r="BP16" i="47"/>
  <c r="BT16" i="47"/>
  <c r="BU5" i="47"/>
  <c r="D109" i="80" s="1"/>
  <c r="V59" i="80" s="1"/>
  <c r="AF59" i="80" s="1"/>
  <c r="V165" i="81" s="1"/>
  <c r="BU7" i="47"/>
  <c r="D111" i="80" s="1"/>
  <c r="V61" i="80" s="1"/>
  <c r="AF61" i="80" s="1"/>
  <c r="V167" i="81" s="1"/>
  <c r="BU9" i="47"/>
  <c r="D113" i="80" s="1"/>
  <c r="BU11" i="47"/>
  <c r="D115" i="80" s="1"/>
  <c r="BU13" i="47"/>
  <c r="D117" i="80" s="1"/>
  <c r="V66" i="81" s="1"/>
  <c r="BU15" i="47"/>
  <c r="D119" i="80" s="1"/>
  <c r="V68" i="81" s="1"/>
  <c r="BI16" i="43"/>
  <c r="BM16" i="43"/>
  <c r="BQ16" i="43"/>
  <c r="BJ16" i="44"/>
  <c r="BN16" i="44"/>
  <c r="BR16" i="44"/>
  <c r="E3" i="77"/>
  <c r="W3" i="77" s="1"/>
  <c r="Q111" i="81" s="1"/>
  <c r="BG16" i="45"/>
  <c r="BK16" i="45"/>
  <c r="BO16" i="45"/>
  <c r="BS16" i="45"/>
  <c r="BC10" i="48"/>
  <c r="BC12" i="48"/>
  <c r="BU8" i="43"/>
  <c r="E112" i="74" s="1"/>
  <c r="E61" i="81" s="1"/>
  <c r="BU10" i="43"/>
  <c r="E114" i="74" s="1"/>
  <c r="E63" i="81" s="1"/>
  <c r="BU12" i="43"/>
  <c r="E116" i="74" s="1"/>
  <c r="E65" i="81" s="1"/>
  <c r="BU14" i="43"/>
  <c r="BU21" i="43"/>
  <c r="BU23" i="43"/>
  <c r="BU25" i="43"/>
  <c r="BU27" i="43"/>
  <c r="BU29" i="43"/>
  <c r="BU31" i="43"/>
  <c r="BK16" i="26"/>
  <c r="BU14" i="26"/>
  <c r="BU10" i="26"/>
  <c r="BU6" i="26"/>
  <c r="BU32" i="26"/>
  <c r="BU28" i="26"/>
  <c r="BU24" i="26"/>
  <c r="BF16" i="32"/>
  <c r="BU4" i="32"/>
  <c r="BJ16" i="32"/>
  <c r="BN16" i="32"/>
  <c r="BR16" i="32"/>
  <c r="BU6" i="32"/>
  <c r="BU8" i="32"/>
  <c r="BU10" i="32"/>
  <c r="BU12" i="32"/>
  <c r="BU14" i="32"/>
  <c r="BU21" i="32"/>
  <c r="BU23" i="32"/>
  <c r="BU25" i="32"/>
  <c r="BU27" i="32"/>
  <c r="BU29" i="32"/>
  <c r="BU31" i="32"/>
  <c r="BF16" i="33"/>
  <c r="BU4" i="33"/>
  <c r="BJ16" i="33"/>
  <c r="BN16" i="33"/>
  <c r="BR16" i="33"/>
  <c r="BU6" i="33"/>
  <c r="B110" i="77" s="1"/>
  <c r="T60" i="77" s="1"/>
  <c r="BU8" i="33"/>
  <c r="BU10" i="33"/>
  <c r="BU12" i="33"/>
  <c r="BU14" i="33"/>
  <c r="B118" i="77" s="1"/>
  <c r="T68" i="77" s="1"/>
  <c r="BU21" i="33"/>
  <c r="BU23" i="33"/>
  <c r="BU25" i="33"/>
  <c r="BU27" i="33"/>
  <c r="BU29" i="33"/>
  <c r="BU31" i="33"/>
  <c r="BU32" i="56"/>
  <c r="BC21" i="35"/>
  <c r="BC23" i="35"/>
  <c r="BC25" i="35"/>
  <c r="BC27" i="35"/>
  <c r="C9" i="74" s="1"/>
  <c r="BC29" i="35"/>
  <c r="BC31" i="35"/>
  <c r="C13" i="74" s="1"/>
  <c r="C50" i="81" s="1"/>
  <c r="BF16" i="36"/>
  <c r="BU4" i="36"/>
  <c r="BJ16" i="36"/>
  <c r="BN16" i="36"/>
  <c r="BR16" i="36"/>
  <c r="BC5" i="36"/>
  <c r="BU6" i="36"/>
  <c r="BC7" i="36"/>
  <c r="BU8" i="36"/>
  <c r="BC9" i="36"/>
  <c r="BU10" i="36"/>
  <c r="BC11" i="36"/>
  <c r="BU12" i="36"/>
  <c r="BC13" i="36"/>
  <c r="BU14" i="36"/>
  <c r="BC15" i="36"/>
  <c r="BU21" i="36"/>
  <c r="BC23" i="36"/>
  <c r="C5" i="76" s="1"/>
  <c r="I42" i="81" s="1"/>
  <c r="BU23" i="36"/>
  <c r="BC25" i="36"/>
  <c r="BU25" i="36"/>
  <c r="BC27" i="36"/>
  <c r="BU27" i="36"/>
  <c r="BC29" i="36"/>
  <c r="BU29" i="36"/>
  <c r="BC31" i="36"/>
  <c r="C13" i="76" s="1"/>
  <c r="BU31" i="36"/>
  <c r="AN16" i="37"/>
  <c r="BK16" i="37"/>
  <c r="BO16" i="37"/>
  <c r="BS16" i="37"/>
  <c r="AN33" i="37"/>
  <c r="BH16" i="38"/>
  <c r="BL16" i="38"/>
  <c r="BP16" i="38"/>
  <c r="BT16" i="38"/>
  <c r="BC5" i="38"/>
  <c r="BU5" i="38"/>
  <c r="BC7" i="38"/>
  <c r="BU7" i="38"/>
  <c r="BC9" i="38"/>
  <c r="BU9" i="38"/>
  <c r="BC11" i="38"/>
  <c r="BU11" i="38"/>
  <c r="BC13" i="38"/>
  <c r="BU13" i="38"/>
  <c r="BU15" i="38"/>
  <c r="BU22" i="38"/>
  <c r="BU24" i="38"/>
  <c r="BU26" i="38"/>
  <c r="BU28" i="38"/>
  <c r="BU30" i="38"/>
  <c r="BU32" i="38"/>
  <c r="BI16" i="39"/>
  <c r="BM16" i="39"/>
  <c r="BQ16" i="39"/>
  <c r="BF16" i="40"/>
  <c r="BU4" i="40"/>
  <c r="D108" i="76" s="1"/>
  <c r="J57" i="81" s="1"/>
  <c r="BJ16" i="40"/>
  <c r="BN16" i="40"/>
  <c r="BR16" i="40"/>
  <c r="BU6" i="40"/>
  <c r="D110" i="76" s="1"/>
  <c r="J59" i="81" s="1"/>
  <c r="BU8" i="40"/>
  <c r="D112" i="76" s="1"/>
  <c r="J61" i="81" s="1"/>
  <c r="BU10" i="40"/>
  <c r="D114" i="76" s="1"/>
  <c r="BL16" i="26"/>
  <c r="BU13" i="26"/>
  <c r="BU9" i="26"/>
  <c r="B113" i="74" s="1"/>
  <c r="B62" i="81" s="1"/>
  <c r="BU5" i="26"/>
  <c r="BU31" i="26"/>
  <c r="BU27" i="26"/>
  <c r="BU23" i="26"/>
  <c r="B110" i="74" s="1"/>
  <c r="BU5" i="34"/>
  <c r="BC6" i="34"/>
  <c r="BU7" i="34"/>
  <c r="BC8" i="34"/>
  <c r="BU9" i="34"/>
  <c r="BC10" i="34"/>
  <c r="BU11" i="34"/>
  <c r="BC12" i="34"/>
  <c r="BU13" i="34"/>
  <c r="BC14" i="34"/>
  <c r="BU15" i="34"/>
  <c r="BU22" i="34"/>
  <c r="BU24" i="34"/>
  <c r="BU26" i="34"/>
  <c r="BU28" i="34"/>
  <c r="BC30" i="34"/>
  <c r="BU30" i="34"/>
  <c r="BC32" i="34"/>
  <c r="BU32" i="34"/>
  <c r="BF16" i="35"/>
  <c r="BU4" i="35"/>
  <c r="BJ16" i="35"/>
  <c r="BN16" i="35"/>
  <c r="BR16" i="35"/>
  <c r="BU6" i="35"/>
  <c r="BU8" i="35"/>
  <c r="BU10" i="35"/>
  <c r="BU12" i="35"/>
  <c r="BU14" i="35"/>
  <c r="BU21" i="35"/>
  <c r="BU23" i="35"/>
  <c r="C110" i="74" s="1"/>
  <c r="C59" i="81" s="1"/>
  <c r="BU25" i="35"/>
  <c r="BU27" i="35"/>
  <c r="BU29" i="35"/>
  <c r="BU31" i="35"/>
  <c r="C118" i="74" s="1"/>
  <c r="AN16" i="36"/>
  <c r="BK16" i="36"/>
  <c r="BO16" i="36"/>
  <c r="BS16" i="36"/>
  <c r="AN33" i="36"/>
  <c r="BH16" i="37"/>
  <c r="BL16" i="37"/>
  <c r="BP16" i="37"/>
  <c r="BT16" i="37"/>
  <c r="BU5" i="37"/>
  <c r="BU7" i="37"/>
  <c r="BU9" i="37"/>
  <c r="BU11" i="37"/>
  <c r="BU13" i="37"/>
  <c r="BU15" i="37"/>
  <c r="BC22" i="37"/>
  <c r="BU22" i="37"/>
  <c r="BC24" i="37"/>
  <c r="BU24" i="37"/>
  <c r="BC26" i="37"/>
  <c r="C8" i="77" s="1"/>
  <c r="U79" i="77" s="1"/>
  <c r="AE79" i="77" s="1"/>
  <c r="O185" i="81" s="1"/>
  <c r="BU26" i="37"/>
  <c r="BC28" i="37"/>
  <c r="BU28" i="37"/>
  <c r="BC30" i="37"/>
  <c r="BU30" i="37"/>
  <c r="BC32" i="37"/>
  <c r="BU32" i="37"/>
  <c r="BM16" i="38"/>
  <c r="BQ16" i="38"/>
  <c r="BF16" i="39"/>
  <c r="BU4" i="39"/>
  <c r="BR16" i="39"/>
  <c r="BU6" i="39"/>
  <c r="D110" i="74" s="1"/>
  <c r="D59" i="81" s="1"/>
  <c r="BU8" i="39"/>
  <c r="D112" i="74" s="1"/>
  <c r="D61" i="81" s="1"/>
  <c r="BU10" i="39"/>
  <c r="D114" i="74" s="1"/>
  <c r="D63" i="81" s="1"/>
  <c r="BU12" i="39"/>
  <c r="D116" i="74" s="1"/>
  <c r="D65" i="81" s="1"/>
  <c r="BU14" i="39"/>
  <c r="D118" i="74" s="1"/>
  <c r="BU21" i="39"/>
  <c r="BC23" i="39"/>
  <c r="BU23" i="39"/>
  <c r="BC25" i="39"/>
  <c r="BU25" i="39"/>
  <c r="BC27" i="39"/>
  <c r="BU27" i="39"/>
  <c r="BC29" i="39"/>
  <c r="BU29" i="39"/>
  <c r="BC31" i="39"/>
  <c r="BU31" i="39"/>
  <c r="BJ16" i="26"/>
  <c r="BS16" i="26"/>
  <c r="BO16" i="26"/>
  <c r="BR16" i="26"/>
  <c r="BN16" i="26"/>
  <c r="BF16" i="56"/>
  <c r="BU4" i="56"/>
  <c r="BJ16" i="56"/>
  <c r="BN16" i="56"/>
  <c r="BR16" i="56"/>
  <c r="BU6" i="56"/>
  <c r="BU8" i="56"/>
  <c r="BU10" i="56"/>
  <c r="BU12" i="56"/>
  <c r="BU14" i="56"/>
  <c r="BC15" i="56"/>
  <c r="BU21" i="56"/>
  <c r="BC23" i="56"/>
  <c r="BU23" i="56"/>
  <c r="BC25" i="56"/>
  <c r="BU25" i="56"/>
  <c r="BC27" i="56"/>
  <c r="BU27" i="56"/>
  <c r="BC29" i="56"/>
  <c r="BU29" i="56"/>
  <c r="BC31" i="56"/>
  <c r="BU31" i="56"/>
  <c r="C7" i="74"/>
  <c r="AM7" i="74" s="1"/>
  <c r="C131" i="81" s="1"/>
  <c r="BU5" i="36"/>
  <c r="BU7" i="36"/>
  <c r="BU9" i="36"/>
  <c r="BU11" i="36"/>
  <c r="BU13" i="36"/>
  <c r="BU15" i="36"/>
  <c r="BC22" i="36"/>
  <c r="BU22" i="36"/>
  <c r="BC24" i="36"/>
  <c r="BU24" i="36"/>
  <c r="BC26" i="36"/>
  <c r="BU26" i="36"/>
  <c r="BC28" i="36"/>
  <c r="BU28" i="36"/>
  <c r="BC30" i="36"/>
  <c r="BU30" i="36"/>
  <c r="BC32" i="36"/>
  <c r="BU32" i="36"/>
  <c r="BF16" i="38"/>
  <c r="BU4" i="38"/>
  <c r="BU15" i="26"/>
  <c r="B119" i="74" s="1"/>
  <c r="BU11" i="26"/>
  <c r="BU7" i="26"/>
  <c r="B111" i="74" s="1"/>
  <c r="B60" i="81" s="1"/>
  <c r="BT16" i="26"/>
  <c r="BP16" i="26"/>
  <c r="BU29" i="26"/>
  <c r="BU25" i="26"/>
  <c r="B112" i="74" s="1"/>
  <c r="B61" i="81" s="1"/>
  <c r="BF16" i="34"/>
  <c r="BU4" i="34"/>
  <c r="BC5" i="34"/>
  <c r="BU6" i="34"/>
  <c r="BC7" i="34"/>
  <c r="BU8" i="34"/>
  <c r="BC9" i="34"/>
  <c r="BU10" i="34"/>
  <c r="BC11" i="34"/>
  <c r="BU12" i="34"/>
  <c r="BC13" i="34"/>
  <c r="BU14" i="34"/>
  <c r="BU21" i="34"/>
  <c r="BC23" i="34"/>
  <c r="BU23" i="34"/>
  <c r="BC25" i="34"/>
  <c r="BU25" i="34"/>
  <c r="BC27" i="34"/>
  <c r="BU27" i="34"/>
  <c r="BC29" i="34"/>
  <c r="BU29" i="34"/>
  <c r="BC31" i="34"/>
  <c r="BU31" i="34"/>
  <c r="BF16" i="37"/>
  <c r="BU4" i="37"/>
  <c r="C108" i="77" s="1"/>
  <c r="U58" i="77" s="1"/>
  <c r="C6" i="77"/>
  <c r="O43" i="81" s="1"/>
  <c r="BC15" i="37"/>
  <c r="BU23" i="37"/>
  <c r="BU25" i="37"/>
  <c r="C112" i="77" s="1"/>
  <c r="BU27" i="37"/>
  <c r="C114" i="77" s="1"/>
  <c r="BU29" i="37"/>
  <c r="BU31" i="37"/>
  <c r="C118" i="77" s="1"/>
  <c r="BC4" i="39"/>
  <c r="BU5" i="39"/>
  <c r="BC6" i="39"/>
  <c r="BU7" i="39"/>
  <c r="BC8" i="39"/>
  <c r="BU9" i="39"/>
  <c r="D113" i="74" s="1"/>
  <c r="D62" i="81" s="1"/>
  <c r="BC10" i="39"/>
  <c r="BU11" i="39"/>
  <c r="D115" i="74" s="1"/>
  <c r="D64" i="81" s="1"/>
  <c r="BC12" i="39"/>
  <c r="BU13" i="39"/>
  <c r="BC14" i="39"/>
  <c r="BU15" i="39"/>
  <c r="BU22" i="39"/>
  <c r="BU24" i="39"/>
  <c r="BU26" i="39"/>
  <c r="BU28" i="39"/>
  <c r="BU30" i="39"/>
  <c r="BU32" i="39"/>
  <c r="BM16" i="40"/>
  <c r="BQ16" i="40"/>
  <c r="AN33" i="40"/>
  <c r="BC22" i="40"/>
  <c r="BC24" i="40"/>
  <c r="BC26" i="40"/>
  <c r="D8" i="76" s="1"/>
  <c r="BC28" i="40"/>
  <c r="D10" i="76" s="1"/>
  <c r="BC30" i="40"/>
  <c r="BC32" i="40"/>
  <c r="BH16" i="41"/>
  <c r="BL16" i="41"/>
  <c r="BP16" i="41"/>
  <c r="BT16" i="41"/>
  <c r="BU5" i="41"/>
  <c r="D109" i="77" s="1"/>
  <c r="BU7" i="41"/>
  <c r="D111" i="77" s="1"/>
  <c r="V61" i="77" s="1"/>
  <c r="AF61" i="77" s="1"/>
  <c r="P167" i="81" s="1"/>
  <c r="BU9" i="41"/>
  <c r="D113" i="77" s="1"/>
  <c r="BU11" i="41"/>
  <c r="D115" i="77" s="1"/>
  <c r="P64" i="81" s="1"/>
  <c r="BU13" i="41"/>
  <c r="D117" i="77" s="1"/>
  <c r="V67" i="77" s="1"/>
  <c r="AF67" i="77" s="1"/>
  <c r="P173" i="81" s="1"/>
  <c r="BU15" i="41"/>
  <c r="D119" i="77" s="1"/>
  <c r="P68" i="81" s="1"/>
  <c r="BU22" i="41"/>
  <c r="BU24" i="41"/>
  <c r="BU26" i="41"/>
  <c r="BU28" i="41"/>
  <c r="BU30" i="41"/>
  <c r="BU32" i="41"/>
  <c r="BI16" i="42"/>
  <c r="BM16" i="42"/>
  <c r="BQ16" i="42"/>
  <c r="BF16" i="47"/>
  <c r="BU4" i="47"/>
  <c r="D108" i="80" s="1"/>
  <c r="BJ16" i="47"/>
  <c r="BN16" i="47"/>
  <c r="BR16" i="47"/>
  <c r="BU6" i="47"/>
  <c r="D110" i="80" s="1"/>
  <c r="BU8" i="47"/>
  <c r="D112" i="80" s="1"/>
  <c r="BU10" i="47"/>
  <c r="D114" i="80" s="1"/>
  <c r="BU12" i="47"/>
  <c r="D116" i="80" s="1"/>
  <c r="BU14" i="47"/>
  <c r="D118" i="80" s="1"/>
  <c r="AN33" i="47"/>
  <c r="BC22" i="47"/>
  <c r="BC24" i="47"/>
  <c r="BC28" i="47"/>
  <c r="D10" i="80" s="1"/>
  <c r="BH16" i="43"/>
  <c r="BL16" i="43"/>
  <c r="BP16" i="43"/>
  <c r="BT16" i="43"/>
  <c r="BU5" i="43"/>
  <c r="E109" i="74" s="1"/>
  <c r="BU7" i="43"/>
  <c r="E111" i="74" s="1"/>
  <c r="E60" i="81" s="1"/>
  <c r="BU9" i="43"/>
  <c r="E113" i="74" s="1"/>
  <c r="E62" i="81" s="1"/>
  <c r="BU11" i="43"/>
  <c r="E115" i="74" s="1"/>
  <c r="E64" i="81" s="1"/>
  <c r="BU13" i="43"/>
  <c r="E117" i="74" s="1"/>
  <c r="BU15" i="43"/>
  <c r="BU22" i="43"/>
  <c r="BU24" i="43"/>
  <c r="BU26" i="43"/>
  <c r="BU28" i="43"/>
  <c r="BU30" i="43"/>
  <c r="BU32" i="43"/>
  <c r="BC4" i="44"/>
  <c r="E3" i="76" s="1"/>
  <c r="K40" i="81" s="1"/>
  <c r="BC6" i="44"/>
  <c r="E5" i="76" s="1"/>
  <c r="BC8" i="44"/>
  <c r="BC10" i="44"/>
  <c r="BC12" i="44"/>
  <c r="BC14" i="44"/>
  <c r="BU21" i="44"/>
  <c r="BU23" i="44"/>
  <c r="BU25" i="44"/>
  <c r="BU27" i="44"/>
  <c r="BU29" i="44"/>
  <c r="BU31" i="44"/>
  <c r="AN33" i="45"/>
  <c r="BC24" i="45"/>
  <c r="BC26" i="45"/>
  <c r="BH16" i="48"/>
  <c r="BL16" i="48"/>
  <c r="BP16" i="48"/>
  <c r="BT16" i="48"/>
  <c r="BU5" i="48"/>
  <c r="E109" i="80" s="1"/>
  <c r="E5" i="80"/>
  <c r="W76" i="80" s="1"/>
  <c r="BU7" i="48"/>
  <c r="E111" i="80" s="1"/>
  <c r="BU9" i="48"/>
  <c r="E113" i="80" s="1"/>
  <c r="BU11" i="48"/>
  <c r="E115" i="80" s="1"/>
  <c r="BU11" i="40"/>
  <c r="D115" i="76" s="1"/>
  <c r="V65" i="76" s="1"/>
  <c r="AF65" i="76" s="1"/>
  <c r="J171" i="81" s="1"/>
  <c r="BU13" i="40"/>
  <c r="D117" i="76" s="1"/>
  <c r="V67" i="76" s="1"/>
  <c r="AF67" i="76" s="1"/>
  <c r="J173" i="81" s="1"/>
  <c r="BU15" i="40"/>
  <c r="D119" i="76" s="1"/>
  <c r="J68" i="81" s="1"/>
  <c r="BU22" i="40"/>
  <c r="BU24" i="40"/>
  <c r="BU26" i="40"/>
  <c r="BU28" i="40"/>
  <c r="BU30" i="40"/>
  <c r="BU32" i="40"/>
  <c r="BF16" i="42"/>
  <c r="BU4" i="42"/>
  <c r="BU6" i="42"/>
  <c r="BU8" i="42"/>
  <c r="BU10" i="42"/>
  <c r="BU12" i="42"/>
  <c r="BU14" i="42"/>
  <c r="BU21" i="42"/>
  <c r="BC22" i="42"/>
  <c r="BU23" i="42"/>
  <c r="BU25" i="42"/>
  <c r="BU27" i="42"/>
  <c r="BU29" i="42"/>
  <c r="BU31" i="42"/>
  <c r="BU22" i="47"/>
  <c r="BU24" i="47"/>
  <c r="BU26" i="47"/>
  <c r="BU28" i="47"/>
  <c r="BU30" i="47"/>
  <c r="BU32" i="47"/>
  <c r="BU4" i="44"/>
  <c r="E108" i="76" s="1"/>
  <c r="W58" i="76" s="1"/>
  <c r="BU6" i="44"/>
  <c r="E110" i="76" s="1"/>
  <c r="K59" i="81" s="1"/>
  <c r="BU8" i="44"/>
  <c r="E112" i="76" s="1"/>
  <c r="K61" i="81" s="1"/>
  <c r="BU10" i="44"/>
  <c r="E114" i="76" s="1"/>
  <c r="K63" i="81" s="1"/>
  <c r="BU12" i="44"/>
  <c r="E116" i="76" s="1"/>
  <c r="BU14" i="44"/>
  <c r="BU5" i="45"/>
  <c r="E109" i="77" s="1"/>
  <c r="Q58" i="81" s="1"/>
  <c r="BU7" i="45"/>
  <c r="E111" i="77" s="1"/>
  <c r="W61" i="77" s="1"/>
  <c r="AG61" i="77" s="1"/>
  <c r="Q167" i="81" s="1"/>
  <c r="BU9" i="45"/>
  <c r="E113" i="77" s="1"/>
  <c r="Q62" i="81" s="1"/>
  <c r="BU11" i="45"/>
  <c r="E115" i="77" s="1"/>
  <c r="Q64" i="81" s="1"/>
  <c r="BU13" i="45"/>
  <c r="E117" i="77" s="1"/>
  <c r="Q66" i="81" s="1"/>
  <c r="BU15" i="45"/>
  <c r="E119" i="77" s="1"/>
  <c r="Q68" i="81" s="1"/>
  <c r="BU22" i="45"/>
  <c r="BC23" i="45"/>
  <c r="BU24" i="45"/>
  <c r="BC25" i="45"/>
  <c r="E7" i="77" s="1"/>
  <c r="BU26" i="45"/>
  <c r="BC27" i="45"/>
  <c r="BU28" i="45"/>
  <c r="BC29" i="45"/>
  <c r="BU30" i="45"/>
  <c r="BU32" i="45"/>
  <c r="BF16" i="41"/>
  <c r="BU4" i="41"/>
  <c r="D108" i="77" s="1"/>
  <c r="V58" i="77" s="1"/>
  <c r="V58" i="81"/>
  <c r="AE8" i="80"/>
  <c r="V64" i="81"/>
  <c r="AE10" i="80"/>
  <c r="V65" i="80"/>
  <c r="AF65" i="80" s="1"/>
  <c r="V171" i="81" s="1"/>
  <c r="BF16" i="43"/>
  <c r="BU4" i="43"/>
  <c r="BU6" i="43"/>
  <c r="E110" i="74" s="1"/>
  <c r="E59" i="81" s="1"/>
  <c r="BF16" i="44"/>
  <c r="BF16" i="48"/>
  <c r="BU4" i="48"/>
  <c r="E108" i="80" s="1"/>
  <c r="W61" i="81"/>
  <c r="W62" i="80"/>
  <c r="AG62" i="80" s="1"/>
  <c r="W168" i="81" s="1"/>
  <c r="AF7" i="80"/>
  <c r="W65" i="81"/>
  <c r="AF11" i="80"/>
  <c r="W67" i="81"/>
  <c r="AF32" i="80"/>
  <c r="AF13" i="80"/>
  <c r="BU12" i="40"/>
  <c r="D116" i="76" s="1"/>
  <c r="BU14" i="40"/>
  <c r="D118" i="76" s="1"/>
  <c r="J67" i="81" s="1"/>
  <c r="BU21" i="40"/>
  <c r="BU23" i="40"/>
  <c r="BU25" i="40"/>
  <c r="BU27" i="40"/>
  <c r="BU29" i="40"/>
  <c r="BU31" i="40"/>
  <c r="BU5" i="42"/>
  <c r="BU7" i="42"/>
  <c r="BU9" i="42"/>
  <c r="BU11" i="42"/>
  <c r="BU13" i="42"/>
  <c r="BU15" i="42"/>
  <c r="BU22" i="42"/>
  <c r="BU24" i="42"/>
  <c r="BU26" i="42"/>
  <c r="BU28" i="42"/>
  <c r="BU30" i="42"/>
  <c r="BU32" i="42"/>
  <c r="D6" i="80"/>
  <c r="V43" i="81" s="1"/>
  <c r="BU21" i="47"/>
  <c r="BU23" i="47"/>
  <c r="BU25" i="47"/>
  <c r="BU27" i="47"/>
  <c r="BU29" i="47"/>
  <c r="BU31" i="47"/>
  <c r="BH16" i="44"/>
  <c r="BL16" i="44"/>
  <c r="BP16" i="44"/>
  <c r="BT16" i="44"/>
  <c r="BU5" i="44"/>
  <c r="E109" i="76" s="1"/>
  <c r="K58" i="81" s="1"/>
  <c r="BU7" i="44"/>
  <c r="E111" i="76" s="1"/>
  <c r="W61" i="76" s="1"/>
  <c r="AG61" i="76" s="1"/>
  <c r="K167" i="81" s="1"/>
  <c r="BU9" i="44"/>
  <c r="E113" i="76" s="1"/>
  <c r="K62" i="81" s="1"/>
  <c r="BU11" i="44"/>
  <c r="E115" i="76" s="1"/>
  <c r="K64" i="81" s="1"/>
  <c r="BU13" i="44"/>
  <c r="E117" i="76" s="1"/>
  <c r="K66" i="81" s="1"/>
  <c r="BU15" i="44"/>
  <c r="BF16" i="45"/>
  <c r="BU4" i="45"/>
  <c r="E108" i="77" s="1"/>
  <c r="BU6" i="45"/>
  <c r="E110" i="77" s="1"/>
  <c r="Q59" i="81" s="1"/>
  <c r="BU8" i="45"/>
  <c r="E112" i="77" s="1"/>
  <c r="BU10" i="45"/>
  <c r="E114" i="77" s="1"/>
  <c r="Q63" i="81" s="1"/>
  <c r="BU12" i="45"/>
  <c r="E116" i="77" s="1"/>
  <c r="BU14" i="45"/>
  <c r="E118" i="77" s="1"/>
  <c r="Q67" i="81" s="1"/>
  <c r="BU21" i="45"/>
  <c r="BC22" i="45"/>
  <c r="BU23" i="45"/>
  <c r="BU25" i="45"/>
  <c r="BU27" i="45"/>
  <c r="BC28" i="45"/>
  <c r="E10" i="77" s="1"/>
  <c r="W10" i="77" s="1"/>
  <c r="BU29" i="45"/>
  <c r="BC30" i="45"/>
  <c r="E12" i="77" s="1"/>
  <c r="BU31" i="45"/>
  <c r="V69" i="76"/>
  <c r="AF69" i="76" s="1"/>
  <c r="J175" i="81" s="1"/>
  <c r="W65" i="76"/>
  <c r="AG65" i="76" s="1"/>
  <c r="K171" i="81" s="1"/>
  <c r="V65" i="77"/>
  <c r="AF65" i="77" s="1"/>
  <c r="P171" i="81" s="1"/>
  <c r="V69" i="77"/>
  <c r="AF69" i="77" s="1"/>
  <c r="P175" i="81" s="1"/>
  <c r="W65" i="77"/>
  <c r="AG65" i="77" s="1"/>
  <c r="Q171" i="81" s="1"/>
  <c r="BC30" i="48"/>
  <c r="V64" i="76"/>
  <c r="AF64" i="76" s="1"/>
  <c r="J170" i="81" s="1"/>
  <c r="BU13" i="48"/>
  <c r="E117" i="80" s="1"/>
  <c r="BU15" i="48"/>
  <c r="E119" i="80" s="1"/>
  <c r="BU22" i="48"/>
  <c r="BU24" i="48"/>
  <c r="BU26" i="48"/>
  <c r="BU28" i="48"/>
  <c r="BU30" i="48"/>
  <c r="BU32" i="48"/>
  <c r="W62" i="76"/>
  <c r="AG62" i="76" s="1"/>
  <c r="K168" i="81" s="1"/>
  <c r="V62" i="77"/>
  <c r="AF62" i="77" s="1"/>
  <c r="P168" i="81" s="1"/>
  <c r="V66" i="77"/>
  <c r="AF66" i="77" s="1"/>
  <c r="P172" i="81" s="1"/>
  <c r="W68" i="77"/>
  <c r="AG68" i="77" s="1"/>
  <c r="B5" i="77"/>
  <c r="AL5" i="77" s="1"/>
  <c r="B13" i="77"/>
  <c r="N50" i="81" s="1"/>
  <c r="C5" i="74"/>
  <c r="U5" i="74" s="1"/>
  <c r="J63" i="81"/>
  <c r="J64" i="81"/>
  <c r="T12" i="77"/>
  <c r="N120" i="81" s="1"/>
  <c r="T10" i="77"/>
  <c r="N118" i="81" s="1"/>
  <c r="N47" i="81"/>
  <c r="AF15" i="77"/>
  <c r="AI12" i="77"/>
  <c r="O74" i="77"/>
  <c r="AG4" i="77"/>
  <c r="AI8" i="77"/>
  <c r="P74" i="77"/>
  <c r="AI5" i="77"/>
  <c r="AH12" i="77"/>
  <c r="AH13" i="77"/>
  <c r="AE15" i="77"/>
  <c r="AI11" i="77"/>
  <c r="B156" i="77"/>
  <c r="N86" i="81" s="1"/>
  <c r="Q74" i="77"/>
  <c r="AC9" i="77"/>
  <c r="AC10" i="77"/>
  <c r="AC7" i="77"/>
  <c r="E5" i="77"/>
  <c r="T83" i="77"/>
  <c r="AD83" i="77" s="1"/>
  <c r="N189" i="81" s="1"/>
  <c r="AE33" i="77"/>
  <c r="AE52" i="77" s="1"/>
  <c r="T76" i="77"/>
  <c r="AD76" i="77" s="1"/>
  <c r="N182" i="81" s="1"/>
  <c r="AL12" i="77"/>
  <c r="AO3" i="77"/>
  <c r="Q127" i="81" s="1"/>
  <c r="AN14" i="77"/>
  <c r="P138" i="81" s="1"/>
  <c r="V85" i="77"/>
  <c r="AF85" i="77" s="1"/>
  <c r="P191" i="81" s="1"/>
  <c r="W60" i="76"/>
  <c r="AG60" i="76" s="1"/>
  <c r="K166" i="81" s="1"/>
  <c r="AM8" i="77"/>
  <c r="O132" i="81" s="1"/>
  <c r="D7" i="77"/>
  <c r="D11" i="77"/>
  <c r="E9" i="77"/>
  <c r="E9" i="80"/>
  <c r="AL10" i="77"/>
  <c r="N134" i="81" s="1"/>
  <c r="T81" i="77"/>
  <c r="O62" i="80"/>
  <c r="P67" i="80"/>
  <c r="Q62" i="80"/>
  <c r="O67" i="80"/>
  <c r="V37" i="80"/>
  <c r="Z24" i="80"/>
  <c r="Q69" i="80"/>
  <c r="O69" i="80"/>
  <c r="P69" i="80"/>
  <c r="Z27" i="80"/>
  <c r="Y27" i="80"/>
  <c r="X27" i="80"/>
  <c r="O64" i="80"/>
  <c r="P64" i="80"/>
  <c r="Q64" i="80"/>
  <c r="O31" i="80"/>
  <c r="N28" i="80"/>
  <c r="Q28" i="80" s="1"/>
  <c r="M37" i="80"/>
  <c r="O68" i="80"/>
  <c r="M58" i="80"/>
  <c r="O58" i="80" s="1"/>
  <c r="M22" i="80"/>
  <c r="M36" i="80" s="1"/>
  <c r="O29" i="80"/>
  <c r="E86" i="80"/>
  <c r="X29" i="80"/>
  <c r="Y29" i="80"/>
  <c r="O65" i="80"/>
  <c r="P65" i="80"/>
  <c r="AR5" i="80"/>
  <c r="Q60" i="80"/>
  <c r="O61" i="80"/>
  <c r="Z31" i="80"/>
  <c r="AQ5" i="80"/>
  <c r="Y31" i="80"/>
  <c r="O63" i="80"/>
  <c r="T37" i="80"/>
  <c r="W36" i="80"/>
  <c r="Q68" i="80"/>
  <c r="K70" i="80"/>
  <c r="P58" i="80"/>
  <c r="P61" i="80"/>
  <c r="Q61" i="80"/>
  <c r="P60" i="80"/>
  <c r="T34" i="80"/>
  <c r="Q63" i="80"/>
  <c r="O60" i="80"/>
  <c r="P59" i="80"/>
  <c r="O59" i="80"/>
  <c r="P26" i="80"/>
  <c r="Z29" i="80"/>
  <c r="Q33" i="80"/>
  <c r="P31" i="80"/>
  <c r="P68" i="80"/>
  <c r="O66" i="80"/>
  <c r="P63" i="80"/>
  <c r="Q26" i="80"/>
  <c r="Q59" i="80"/>
  <c r="AE80" i="80"/>
  <c r="U186" i="81" s="1"/>
  <c r="AE76" i="80"/>
  <c r="U182" i="81" s="1"/>
  <c r="AE69" i="80"/>
  <c r="U175" i="81" s="1"/>
  <c r="AE65" i="80"/>
  <c r="U171" i="81" s="1"/>
  <c r="AD77" i="80"/>
  <c r="T183" i="81" s="1"/>
  <c r="AE64" i="80"/>
  <c r="U170" i="81" s="1"/>
  <c r="Z32" i="80"/>
  <c r="Y32" i="80"/>
  <c r="X32" i="80"/>
  <c r="X31" i="80"/>
  <c r="T36" i="80"/>
  <c r="U36" i="80"/>
  <c r="AD83" i="80"/>
  <c r="T189" i="81" s="1"/>
  <c r="AD79" i="80"/>
  <c r="T185" i="81" s="1"/>
  <c r="AD81" i="80"/>
  <c r="T187" i="81" s="1"/>
  <c r="U34" i="80"/>
  <c r="AE67" i="80"/>
  <c r="U173" i="81" s="1"/>
  <c r="U86" i="80"/>
  <c r="U70" i="80"/>
  <c r="X24" i="80"/>
  <c r="U37" i="80"/>
  <c r="AD44" i="80"/>
  <c r="Y24" i="80"/>
  <c r="AD85" i="80"/>
  <c r="T191" i="81" s="1"/>
  <c r="Z33" i="80"/>
  <c r="Y33" i="80"/>
  <c r="X33" i="80"/>
  <c r="X26" i="80"/>
  <c r="Z26" i="80"/>
  <c r="Y26" i="80"/>
  <c r="Y23" i="80"/>
  <c r="X23" i="80"/>
  <c r="Z23" i="80"/>
  <c r="AD41" i="80"/>
  <c r="AG7" i="76"/>
  <c r="AG11" i="76"/>
  <c r="AI11" i="76"/>
  <c r="AI8" i="76"/>
  <c r="AH4" i="76"/>
  <c r="AI5" i="76"/>
  <c r="AH9" i="76"/>
  <c r="AG5" i="76"/>
  <c r="AG9" i="76"/>
  <c r="AF15" i="76"/>
  <c r="T23" i="77"/>
  <c r="Q23" i="77"/>
  <c r="P23" i="77"/>
  <c r="O23" i="77"/>
  <c r="Q24" i="77"/>
  <c r="P24" i="77"/>
  <c r="O24" i="77"/>
  <c r="T24" i="77"/>
  <c r="Q61" i="77"/>
  <c r="P61" i="77"/>
  <c r="O61" i="77"/>
  <c r="T27" i="77"/>
  <c r="Q27" i="77"/>
  <c r="P27" i="77"/>
  <c r="O27" i="77"/>
  <c r="Q28" i="77"/>
  <c r="P28" i="77"/>
  <c r="O28" i="77"/>
  <c r="T28" i="77"/>
  <c r="P65" i="77"/>
  <c r="O65" i="77"/>
  <c r="Q65" i="77"/>
  <c r="Q68" i="77"/>
  <c r="P68" i="77"/>
  <c r="O68" i="77"/>
  <c r="P69" i="77"/>
  <c r="O69" i="77"/>
  <c r="Q69" i="77"/>
  <c r="M36" i="77"/>
  <c r="M34" i="77"/>
  <c r="V22" i="77"/>
  <c r="M37" i="77"/>
  <c r="V25" i="77"/>
  <c r="N70" i="77"/>
  <c r="W58" i="77"/>
  <c r="N37" i="77"/>
  <c r="W25" i="77"/>
  <c r="K36" i="77"/>
  <c r="K34" i="77"/>
  <c r="O22" i="77"/>
  <c r="T22" i="77"/>
  <c r="Q22" i="77"/>
  <c r="P22" i="77"/>
  <c r="AH3" i="77"/>
  <c r="O60" i="77"/>
  <c r="Q60" i="77"/>
  <c r="P60" i="77"/>
  <c r="Q64" i="77"/>
  <c r="P64" i="77"/>
  <c r="O64" i="77"/>
  <c r="T31" i="77"/>
  <c r="Q31" i="77"/>
  <c r="P31" i="77"/>
  <c r="O31" i="77"/>
  <c r="Q32" i="77"/>
  <c r="P32" i="77"/>
  <c r="O32" i="77"/>
  <c r="T32" i="77"/>
  <c r="L36" i="77"/>
  <c r="L34" i="77"/>
  <c r="U22" i="77"/>
  <c r="M70" i="77"/>
  <c r="O58" i="77"/>
  <c r="K70" i="77"/>
  <c r="Q58" i="77"/>
  <c r="P58" i="77"/>
  <c r="AI3" i="77"/>
  <c r="Q59" i="77"/>
  <c r="P59" i="77"/>
  <c r="O59" i="77"/>
  <c r="O26" i="77"/>
  <c r="T26" i="77"/>
  <c r="Q26" i="77"/>
  <c r="P26" i="77"/>
  <c r="P63" i="77"/>
  <c r="O63" i="77"/>
  <c r="Q63" i="77"/>
  <c r="O30" i="77"/>
  <c r="T30" i="77"/>
  <c r="Q30" i="77"/>
  <c r="P30" i="77"/>
  <c r="P67" i="77"/>
  <c r="O67" i="77"/>
  <c r="Q67" i="77"/>
  <c r="L70" i="77"/>
  <c r="L37" i="77"/>
  <c r="U25" i="77"/>
  <c r="K37" i="77"/>
  <c r="P25" i="77"/>
  <c r="O25" i="77"/>
  <c r="T25" i="77"/>
  <c r="Q25" i="77"/>
  <c r="Q62" i="77"/>
  <c r="P62" i="77"/>
  <c r="O62" i="77"/>
  <c r="P29" i="77"/>
  <c r="O29" i="77"/>
  <c r="T29" i="77"/>
  <c r="Q29" i="77"/>
  <c r="Q66" i="77"/>
  <c r="P66" i="77"/>
  <c r="O66" i="77"/>
  <c r="Q33" i="77"/>
  <c r="P33" i="77"/>
  <c r="O33" i="77"/>
  <c r="T33" i="77"/>
  <c r="N36" i="77"/>
  <c r="N34" i="77"/>
  <c r="W22" i="77"/>
  <c r="AG3" i="77"/>
  <c r="M66" i="74"/>
  <c r="V66" i="74" s="1"/>
  <c r="AF66" i="74" s="1"/>
  <c r="D172" i="81" s="1"/>
  <c r="AE12" i="74"/>
  <c r="AE8" i="74"/>
  <c r="AE4" i="74"/>
  <c r="N68" i="74"/>
  <c r="W68" i="74" s="1"/>
  <c r="AG68" i="74" s="1"/>
  <c r="N64" i="74"/>
  <c r="W64" i="74" s="1"/>
  <c r="AG64" i="74" s="1"/>
  <c r="E170" i="81" s="1"/>
  <c r="N60" i="74"/>
  <c r="N59" i="74"/>
  <c r="U30" i="74"/>
  <c r="AE3" i="74"/>
  <c r="AD11" i="74"/>
  <c r="AD10" i="74"/>
  <c r="AD7" i="74"/>
  <c r="M67" i="74"/>
  <c r="K65" i="74"/>
  <c r="T25" i="74"/>
  <c r="AD9" i="74"/>
  <c r="C103" i="74"/>
  <c r="K66" i="74"/>
  <c r="T28" i="74"/>
  <c r="U33" i="74"/>
  <c r="V30" i="74"/>
  <c r="M62" i="74"/>
  <c r="V62" i="74" s="1"/>
  <c r="AF62" i="74" s="1"/>
  <c r="D168" i="81" s="1"/>
  <c r="U25" i="74"/>
  <c r="V22" i="74"/>
  <c r="K29" i="74"/>
  <c r="T29" i="74" s="1"/>
  <c r="N63" i="74"/>
  <c r="U32" i="74"/>
  <c r="B139" i="74"/>
  <c r="AF7" i="74"/>
  <c r="AG7" i="74" s="1"/>
  <c r="D139" i="74"/>
  <c r="E103" i="74"/>
  <c r="W31" i="74"/>
  <c r="N67" i="74"/>
  <c r="W27" i="74"/>
  <c r="E156" i="77"/>
  <c r="Q86" i="81" s="1"/>
  <c r="U22" i="74"/>
  <c r="W24" i="74"/>
  <c r="W32" i="74"/>
  <c r="AF32" i="74" s="1"/>
  <c r="C86" i="74"/>
  <c r="K69" i="74"/>
  <c r="AF12" i="74"/>
  <c r="AF4" i="74"/>
  <c r="T27" i="74"/>
  <c r="T30" i="74"/>
  <c r="L60" i="74"/>
  <c r="B103" i="74"/>
  <c r="N62" i="74"/>
  <c r="W62" i="74" s="1"/>
  <c r="AG62" i="74" s="1"/>
  <c r="E168" i="81" s="1"/>
  <c r="T26" i="74"/>
  <c r="K58" i="74"/>
  <c r="AE11" i="74"/>
  <c r="AE7" i="74"/>
  <c r="L69" i="74"/>
  <c r="D5" i="74"/>
  <c r="M5" i="74" s="1"/>
  <c r="D13" i="74"/>
  <c r="M13" i="74" s="1"/>
  <c r="C4" i="74"/>
  <c r="L4" i="74" s="1"/>
  <c r="C12" i="74"/>
  <c r="L12" i="74" s="1"/>
  <c r="D9" i="74"/>
  <c r="W59" i="76"/>
  <c r="AG59" i="76" s="1"/>
  <c r="K165" i="81" s="1"/>
  <c r="V59" i="76"/>
  <c r="AF59" i="76" s="1"/>
  <c r="J165" i="81" s="1"/>
  <c r="D14" i="76"/>
  <c r="E6" i="76"/>
  <c r="K43" i="81" s="1"/>
  <c r="B6" i="76"/>
  <c r="H43" i="81" s="1"/>
  <c r="C12" i="76"/>
  <c r="D6" i="76"/>
  <c r="J43" i="81" s="1"/>
  <c r="D7" i="76"/>
  <c r="D11" i="76"/>
  <c r="E9" i="76"/>
  <c r="K46" i="81" s="1"/>
  <c r="E11" i="76"/>
  <c r="K48" i="81" s="1"/>
  <c r="B7" i="76"/>
  <c r="H44" i="81" s="1"/>
  <c r="B11" i="76"/>
  <c r="H48" i="81" s="1"/>
  <c r="C7" i="76"/>
  <c r="I44" i="81" s="1"/>
  <c r="C9" i="76"/>
  <c r="E8" i="76"/>
  <c r="K45" i="81" s="1"/>
  <c r="B8" i="76"/>
  <c r="H45" i="81" s="1"/>
  <c r="C10" i="76"/>
  <c r="I47" i="81" s="1"/>
  <c r="D103" i="74"/>
  <c r="L65" i="74"/>
  <c r="AI3" i="76"/>
  <c r="M61" i="74"/>
  <c r="AG3" i="76"/>
  <c r="L58" i="74"/>
  <c r="K68" i="74"/>
  <c r="K64" i="74"/>
  <c r="K60" i="74"/>
  <c r="M65" i="74"/>
  <c r="V65" i="74" s="1"/>
  <c r="AF65" i="74" s="1"/>
  <c r="D171" i="81" s="1"/>
  <c r="K62" i="74"/>
  <c r="M68" i="74"/>
  <c r="W29" i="74"/>
  <c r="M64" i="74"/>
  <c r="V64" i="74" s="1"/>
  <c r="AF64" i="74" s="1"/>
  <c r="D170" i="81" s="1"/>
  <c r="AC3" i="74"/>
  <c r="AH3" i="76"/>
  <c r="K61" i="74"/>
  <c r="T61" i="74" s="1"/>
  <c r="M69" i="74"/>
  <c r="AD13" i="74"/>
  <c r="N66" i="74"/>
  <c r="K67" i="74"/>
  <c r="K63" i="74"/>
  <c r="K59" i="74"/>
  <c r="N69" i="74"/>
  <c r="W69" i="74" s="1"/>
  <c r="AG69" i="74" s="1"/>
  <c r="U31" i="74"/>
  <c r="L63" i="74"/>
  <c r="E86" i="74"/>
  <c r="U23" i="74"/>
  <c r="W33" i="74"/>
  <c r="L67" i="74"/>
  <c r="E139" i="74"/>
  <c r="M60" i="74"/>
  <c r="L59" i="74"/>
  <c r="L37" i="76"/>
  <c r="U25" i="76"/>
  <c r="L36" i="76"/>
  <c r="L34" i="76"/>
  <c r="U22" i="76"/>
  <c r="P33" i="76"/>
  <c r="T33" i="76"/>
  <c r="Q33" i="76"/>
  <c r="O33" i="76"/>
  <c r="Q68" i="76"/>
  <c r="O68" i="76"/>
  <c r="P68" i="76"/>
  <c r="T30" i="76"/>
  <c r="P30" i="76"/>
  <c r="O30" i="76"/>
  <c r="Q30" i="76"/>
  <c r="O65" i="76"/>
  <c r="Q65" i="76"/>
  <c r="P65" i="76"/>
  <c r="P60" i="76"/>
  <c r="O60" i="76"/>
  <c r="Q60" i="76"/>
  <c r="K70" i="76"/>
  <c r="P58" i="76"/>
  <c r="Q58" i="76"/>
  <c r="O58" i="76"/>
  <c r="L70" i="76"/>
  <c r="O69" i="76"/>
  <c r="Q69" i="76"/>
  <c r="P69" i="76"/>
  <c r="Q66" i="76"/>
  <c r="O66" i="76"/>
  <c r="P66" i="76"/>
  <c r="Q28" i="76"/>
  <c r="P28" i="76"/>
  <c r="O28" i="76"/>
  <c r="T28" i="76"/>
  <c r="O63" i="76"/>
  <c r="Q63" i="76"/>
  <c r="P63" i="76"/>
  <c r="K37" i="76"/>
  <c r="P25" i="76"/>
  <c r="O25" i="76"/>
  <c r="T25" i="76"/>
  <c r="Q25" i="76"/>
  <c r="T23" i="76"/>
  <c r="Q23" i="76"/>
  <c r="P23" i="76"/>
  <c r="O23" i="76"/>
  <c r="N37" i="76"/>
  <c r="W25" i="76"/>
  <c r="N36" i="76"/>
  <c r="N34" i="76"/>
  <c r="W22" i="76"/>
  <c r="M70" i="76"/>
  <c r="V58" i="76"/>
  <c r="Q31" i="76"/>
  <c r="O31" i="76"/>
  <c r="T31" i="76"/>
  <c r="P31" i="76"/>
  <c r="Q64" i="76"/>
  <c r="O64" i="76"/>
  <c r="P64" i="76"/>
  <c r="O26" i="76"/>
  <c r="T26" i="76"/>
  <c r="Q26" i="76"/>
  <c r="P26" i="76"/>
  <c r="P61" i="76"/>
  <c r="Q61" i="76"/>
  <c r="O61" i="76"/>
  <c r="P59" i="76"/>
  <c r="Q59" i="76"/>
  <c r="O59" i="76"/>
  <c r="N70" i="76"/>
  <c r="V25" i="76"/>
  <c r="M37" i="76"/>
  <c r="M34" i="76"/>
  <c r="M36" i="76"/>
  <c r="V22" i="76"/>
  <c r="P32" i="76"/>
  <c r="T32" i="76"/>
  <c r="Q32" i="76"/>
  <c r="O32" i="76"/>
  <c r="O67" i="76"/>
  <c r="Q67" i="76"/>
  <c r="P67" i="76"/>
  <c r="P29" i="76"/>
  <c r="O29" i="76"/>
  <c r="T29" i="76"/>
  <c r="Q29" i="76"/>
  <c r="T27" i="76"/>
  <c r="Q27" i="76"/>
  <c r="P27" i="76"/>
  <c r="O27" i="76"/>
  <c r="Q62" i="76"/>
  <c r="O62" i="76"/>
  <c r="P62" i="76"/>
  <c r="Q24" i="76"/>
  <c r="P24" i="76"/>
  <c r="O24" i="76"/>
  <c r="T24" i="76"/>
  <c r="O22" i="76"/>
  <c r="K34" i="76"/>
  <c r="T22" i="76"/>
  <c r="Q22" i="76"/>
  <c r="K36" i="76"/>
  <c r="P22" i="76"/>
  <c r="AM5" i="74"/>
  <c r="C129" i="81" s="1"/>
  <c r="AM10" i="74"/>
  <c r="C134" i="81" s="1"/>
  <c r="B117" i="74"/>
  <c r="B66" i="81" s="1"/>
  <c r="B118" i="74"/>
  <c r="B109" i="74"/>
  <c r="B58" i="81" s="1"/>
  <c r="C119" i="74"/>
  <c r="C68" i="81" s="1"/>
  <c r="C109" i="74"/>
  <c r="D108" i="74"/>
  <c r="C111" i="74"/>
  <c r="C60" i="81" s="1"/>
  <c r="D111" i="74"/>
  <c r="L68" i="74"/>
  <c r="AM13" i="74"/>
  <c r="C137" i="81" s="1"/>
  <c r="AE14" i="74"/>
  <c r="AE13" i="74"/>
  <c r="AE10" i="74"/>
  <c r="AE9" i="74"/>
  <c r="AE6" i="74"/>
  <c r="AE5" i="74"/>
  <c r="AF14" i="74"/>
  <c r="AF10" i="74"/>
  <c r="AF6" i="74"/>
  <c r="V33" i="74"/>
  <c r="C139" i="74"/>
  <c r="AD12" i="74"/>
  <c r="AD4" i="74"/>
  <c r="U27" i="74"/>
  <c r="U24" i="74"/>
  <c r="AC14" i="74"/>
  <c r="AC12" i="74"/>
  <c r="AC10" i="74"/>
  <c r="AC8" i="74"/>
  <c r="AC6" i="74"/>
  <c r="AC4" i="74"/>
  <c r="T33" i="74"/>
  <c r="N25" i="74"/>
  <c r="B86" i="74"/>
  <c r="K37" i="74"/>
  <c r="D86" i="74"/>
  <c r="N22" i="74"/>
  <c r="Q22" i="74" s="1"/>
  <c r="O23" i="74"/>
  <c r="M25" i="74"/>
  <c r="N26" i="74"/>
  <c r="W26" i="74" s="1"/>
  <c r="Q27" i="74"/>
  <c r="L28" i="74"/>
  <c r="U28" i="74" s="1"/>
  <c r="M29" i="74"/>
  <c r="V29" i="74" s="1"/>
  <c r="N30" i="74"/>
  <c r="W30" i="74" s="1"/>
  <c r="M32" i="74"/>
  <c r="Q32" i="74" s="1"/>
  <c r="N65" i="74"/>
  <c r="N61" i="74"/>
  <c r="M24" i="74"/>
  <c r="V24" i="74" s="1"/>
  <c r="M28" i="74"/>
  <c r="V28" i="74" s="1"/>
  <c r="O31" i="74"/>
  <c r="P31" i="74"/>
  <c r="T31" i="74"/>
  <c r="T24" i="74"/>
  <c r="T23" i="74"/>
  <c r="P23" i="74"/>
  <c r="P24" i="74"/>
  <c r="T22" i="74"/>
  <c r="AF13" i="74"/>
  <c r="AD8" i="74"/>
  <c r="AF5" i="74"/>
  <c r="AF9" i="74"/>
  <c r="AF11" i="74"/>
  <c r="T62" i="74"/>
  <c r="AD62" i="74" s="1"/>
  <c r="B168" i="81" s="1"/>
  <c r="D156" i="74"/>
  <c r="D86" i="81" s="1"/>
  <c r="C156" i="74"/>
  <c r="C86" i="81" s="1"/>
  <c r="AF3" i="74"/>
  <c r="B156" i="74"/>
  <c r="B86" i="81" s="1"/>
  <c r="M83" i="74"/>
  <c r="Q83" i="74" s="1"/>
  <c r="P75" i="74"/>
  <c r="Q75" i="74"/>
  <c r="O75" i="74"/>
  <c r="P27" i="74"/>
  <c r="Q33" i="74"/>
  <c r="F36" i="74"/>
  <c r="Q31" i="74"/>
  <c r="K76" i="74"/>
  <c r="K86" i="74" s="1"/>
  <c r="U84" i="74"/>
  <c r="AE84" i="74" s="1"/>
  <c r="C190" i="81" s="1"/>
  <c r="P33" i="74"/>
  <c r="L74" i="74"/>
  <c r="C70" i="74"/>
  <c r="O77" i="74"/>
  <c r="N82" i="74"/>
  <c r="P82" i="74" s="1"/>
  <c r="L36" i="74"/>
  <c r="Q23" i="74"/>
  <c r="B70" i="74"/>
  <c r="Q80" i="74"/>
  <c r="P80" i="74"/>
  <c r="O80" i="74"/>
  <c r="O27" i="74"/>
  <c r="M74" i="74"/>
  <c r="M86" i="74" s="1"/>
  <c r="D70" i="74"/>
  <c r="Q82" i="74"/>
  <c r="O33" i="74"/>
  <c r="K36" i="74"/>
  <c r="N74" i="74"/>
  <c r="E70" i="74"/>
  <c r="P78" i="74"/>
  <c r="O78" i="74"/>
  <c r="P79" i="74"/>
  <c r="O22" i="74"/>
  <c r="P77" i="74"/>
  <c r="Q77" i="74"/>
  <c r="O79" i="74"/>
  <c r="P81" i="74"/>
  <c r="O81" i="74"/>
  <c r="Q84" i="74"/>
  <c r="P84" i="74"/>
  <c r="Q85" i="74"/>
  <c r="P85" i="74"/>
  <c r="BC21" i="48"/>
  <c r="BI16" i="48"/>
  <c r="BC4" i="48"/>
  <c r="AN16" i="45"/>
  <c r="AP33" i="45"/>
  <c r="AP16" i="44"/>
  <c r="AN33" i="44"/>
  <c r="BC21" i="43"/>
  <c r="E3" i="74" s="1"/>
  <c r="AN16" i="43"/>
  <c r="AN16" i="47"/>
  <c r="BC21" i="47"/>
  <c r="AN16" i="42"/>
  <c r="BC21" i="42"/>
  <c r="BG16" i="41"/>
  <c r="AO16" i="41"/>
  <c r="BC21" i="41"/>
  <c r="AN16" i="40"/>
  <c r="AP33" i="40"/>
  <c r="AX16" i="39"/>
  <c r="BC5" i="39"/>
  <c r="D4" i="74" s="1"/>
  <c r="M4" i="74" s="1"/>
  <c r="BC7" i="39"/>
  <c r="D6" i="74" s="1"/>
  <c r="M6" i="74" s="1"/>
  <c r="BC9" i="39"/>
  <c r="BC11" i="39"/>
  <c r="D10" i="74" s="1"/>
  <c r="M10" i="74" s="1"/>
  <c r="BC13" i="39"/>
  <c r="D12" i="74" s="1"/>
  <c r="M12" i="74" s="1"/>
  <c r="BG16" i="39"/>
  <c r="AO16" i="39"/>
  <c r="BC21" i="39"/>
  <c r="D3" i="74" s="1"/>
  <c r="BC21" i="38"/>
  <c r="BI16" i="38"/>
  <c r="BC4" i="38"/>
  <c r="BG16" i="37"/>
  <c r="AO16" i="37"/>
  <c r="BC21" i="37"/>
  <c r="C3" i="77" s="1"/>
  <c r="O40" i="81" s="1"/>
  <c r="BG16" i="36"/>
  <c r="AO16" i="36"/>
  <c r="BC21" i="36"/>
  <c r="AP33" i="35"/>
  <c r="AN16" i="35"/>
  <c r="BG16" i="56"/>
  <c r="AO16" i="56"/>
  <c r="BC21" i="56"/>
  <c r="BG16" i="34"/>
  <c r="AO16" i="34"/>
  <c r="BC21" i="34"/>
  <c r="BC21" i="33"/>
  <c r="BI16" i="33"/>
  <c r="BC4" i="33"/>
  <c r="BG16" i="32"/>
  <c r="AO16" i="32"/>
  <c r="BC21" i="32"/>
  <c r="BG16" i="26"/>
  <c r="BH16" i="26"/>
  <c r="BF16" i="26"/>
  <c r="P106" i="65"/>
  <c r="Q106" i="65"/>
  <c r="P107" i="65"/>
  <c r="Q107" i="65"/>
  <c r="P108" i="65"/>
  <c r="Q108" i="65"/>
  <c r="P109" i="65"/>
  <c r="Q109" i="65"/>
  <c r="P110" i="65"/>
  <c r="Q110" i="65"/>
  <c r="P111" i="65"/>
  <c r="P112" i="65"/>
  <c r="P113" i="65"/>
  <c r="P114" i="65"/>
  <c r="Q114" i="65"/>
  <c r="P115" i="65"/>
  <c r="Q115" i="65"/>
  <c r="P116" i="65"/>
  <c r="Q116" i="65"/>
  <c r="R116" i="65"/>
  <c r="P117" i="65"/>
  <c r="R117" i="65"/>
  <c r="O107" i="65"/>
  <c r="O109" i="65"/>
  <c r="O110" i="65"/>
  <c r="O111" i="65"/>
  <c r="O114" i="65"/>
  <c r="O115" i="65"/>
  <c r="O116" i="65"/>
  <c r="O117" i="65"/>
  <c r="O106" i="65"/>
  <c r="K106" i="65"/>
  <c r="L106" i="65"/>
  <c r="K107" i="65"/>
  <c r="L107" i="65"/>
  <c r="K108" i="65"/>
  <c r="L108" i="65"/>
  <c r="K109" i="65"/>
  <c r="L109" i="65"/>
  <c r="K110" i="65"/>
  <c r="L110" i="65"/>
  <c r="K111" i="65"/>
  <c r="K112" i="65"/>
  <c r="K113" i="65"/>
  <c r="K114" i="65"/>
  <c r="L114" i="65"/>
  <c r="K115" i="65"/>
  <c r="L115" i="65"/>
  <c r="K116" i="65"/>
  <c r="L116" i="65"/>
  <c r="M116" i="65"/>
  <c r="K117" i="65"/>
  <c r="M117" i="65"/>
  <c r="J107" i="65"/>
  <c r="J109" i="65"/>
  <c r="J110" i="65"/>
  <c r="J111" i="65"/>
  <c r="J114" i="65"/>
  <c r="J115" i="65"/>
  <c r="J116" i="65"/>
  <c r="J117" i="65"/>
  <c r="J106" i="65"/>
  <c r="J102" i="65"/>
  <c r="V63" i="76" l="1"/>
  <c r="AF63" i="76" s="1"/>
  <c r="J169" i="81" s="1"/>
  <c r="D7" i="74"/>
  <c r="C11" i="77"/>
  <c r="K34" i="74"/>
  <c r="T63" i="74"/>
  <c r="W60" i="77"/>
  <c r="AG60" i="77" s="1"/>
  <c r="Q166" i="81" s="1"/>
  <c r="AF32" i="77"/>
  <c r="W66" i="80"/>
  <c r="AG66" i="80" s="1"/>
  <c r="W172" i="81" s="1"/>
  <c r="AE14" i="80"/>
  <c r="AN5" i="74"/>
  <c r="D129" i="81" s="1"/>
  <c r="P59" i="74"/>
  <c r="AF30" i="76"/>
  <c r="AF49" i="76" s="1"/>
  <c r="AI4" i="74"/>
  <c r="Q66" i="74"/>
  <c r="N70" i="80"/>
  <c r="W60" i="80"/>
  <c r="AG60" i="80" s="1"/>
  <c r="W166" i="81" s="1"/>
  <c r="AJ166" i="81" s="1"/>
  <c r="AE6" i="80"/>
  <c r="AG12" i="74"/>
  <c r="W59" i="74"/>
  <c r="AG59" i="74" s="1"/>
  <c r="E165" i="81" s="1"/>
  <c r="Q62" i="74"/>
  <c r="M70" i="80"/>
  <c r="W67" i="76"/>
  <c r="AG67" i="76" s="1"/>
  <c r="K173" i="81" s="1"/>
  <c r="C117" i="74"/>
  <c r="B9" i="76"/>
  <c r="H46" i="81" s="1"/>
  <c r="D4" i="76"/>
  <c r="J41" i="81" s="1"/>
  <c r="D3" i="76"/>
  <c r="J40" i="81" s="1"/>
  <c r="B68" i="81"/>
  <c r="T69" i="74"/>
  <c r="AD69" i="74" s="1"/>
  <c r="B175" i="81" s="1"/>
  <c r="AE86" i="80"/>
  <c r="U180" i="81"/>
  <c r="U192" i="81" s="1"/>
  <c r="J47" i="81"/>
  <c r="AE29" i="76"/>
  <c r="AE48" i="76" s="1"/>
  <c r="D14" i="74"/>
  <c r="E12" i="74"/>
  <c r="Q69" i="74"/>
  <c r="O67" i="74"/>
  <c r="O62" i="74"/>
  <c r="V63" i="74"/>
  <c r="AF63" i="74" s="1"/>
  <c r="D169" i="81" s="1"/>
  <c r="AJ174" i="81"/>
  <c r="V62" i="76"/>
  <c r="AF62" i="76" s="1"/>
  <c r="J168" i="81" s="1"/>
  <c r="AF9" i="80"/>
  <c r="V69" i="80"/>
  <c r="AF69" i="80" s="1"/>
  <c r="V175" i="81" s="1"/>
  <c r="P62" i="74"/>
  <c r="Q24" i="74"/>
  <c r="Q36" i="74" s="1"/>
  <c r="U78" i="74"/>
  <c r="AI12" i="74"/>
  <c r="AG6" i="74"/>
  <c r="E156" i="74"/>
  <c r="E86" i="81" s="1"/>
  <c r="O60" i="74"/>
  <c r="T84" i="77"/>
  <c r="AD84" i="77" s="1"/>
  <c r="O45" i="81"/>
  <c r="Q40" i="81"/>
  <c r="W64" i="77"/>
  <c r="AG64" i="77" s="1"/>
  <c r="Q170" i="81" s="1"/>
  <c r="W69" i="77"/>
  <c r="AG69" i="77" s="1"/>
  <c r="W64" i="80"/>
  <c r="AG64" i="80" s="1"/>
  <c r="W170" i="81" s="1"/>
  <c r="V60" i="81"/>
  <c r="AC15" i="76"/>
  <c r="P30" i="80"/>
  <c r="O30" i="80"/>
  <c r="W30" i="80"/>
  <c r="Q30" i="80"/>
  <c r="AE15" i="74"/>
  <c r="W25" i="80"/>
  <c r="Q25" i="80"/>
  <c r="Q37" i="80" s="1"/>
  <c r="P25" i="80"/>
  <c r="O25" i="80"/>
  <c r="Q29" i="74"/>
  <c r="AI171" i="81"/>
  <c r="W59" i="81"/>
  <c r="D11" i="74"/>
  <c r="M11" i="74" s="1"/>
  <c r="C113" i="77"/>
  <c r="O62" i="81" s="1"/>
  <c r="P83" i="74"/>
  <c r="Q74" i="74"/>
  <c r="O82" i="74"/>
  <c r="U76" i="74"/>
  <c r="AE76" i="74" s="1"/>
  <c r="C182" i="81" s="1"/>
  <c r="W66" i="74"/>
  <c r="AG66" i="74" s="1"/>
  <c r="E172" i="81" s="1"/>
  <c r="W60" i="74"/>
  <c r="AG60" i="74" s="1"/>
  <c r="E166" i="81" s="1"/>
  <c r="U7" i="74"/>
  <c r="C115" i="81" s="1"/>
  <c r="Q59" i="74"/>
  <c r="AF8" i="74"/>
  <c r="AH8" i="74" s="1"/>
  <c r="W63" i="74"/>
  <c r="AG63" i="74" s="1"/>
  <c r="E169" i="81" s="1"/>
  <c r="N37" i="80"/>
  <c r="N34" i="80"/>
  <c r="AD27" i="77"/>
  <c r="AD46" i="77" s="1"/>
  <c r="AF24" i="80"/>
  <c r="AF43" i="80" s="1"/>
  <c r="AE25" i="80"/>
  <c r="V77" i="80"/>
  <c r="AF77" i="80" s="1"/>
  <c r="V183" i="81" s="1"/>
  <c r="J60" i="81"/>
  <c r="V60" i="76"/>
  <c r="AF60" i="76" s="1"/>
  <c r="J166" i="81" s="1"/>
  <c r="W64" i="76"/>
  <c r="AG64" i="76" s="1"/>
  <c r="K170" i="81" s="1"/>
  <c r="AJ170" i="81" s="1"/>
  <c r="V68" i="76"/>
  <c r="AF68" i="76" s="1"/>
  <c r="J174" i="81" s="1"/>
  <c r="W63" i="76"/>
  <c r="AG63" i="76" s="1"/>
  <c r="K169" i="81" s="1"/>
  <c r="AE12" i="80"/>
  <c r="AE4" i="80"/>
  <c r="C116" i="77"/>
  <c r="B116" i="74"/>
  <c r="B65" i="81" s="1"/>
  <c r="C117" i="77"/>
  <c r="C109" i="77"/>
  <c r="C7" i="77"/>
  <c r="E173" i="74"/>
  <c r="AH8" i="76"/>
  <c r="AC9" i="74"/>
  <c r="AC15" i="74" s="1"/>
  <c r="B80" i="81"/>
  <c r="Q66" i="80"/>
  <c r="C8" i="76"/>
  <c r="C4" i="76"/>
  <c r="I41" i="81" s="1"/>
  <c r="E4" i="74"/>
  <c r="D6" i="77"/>
  <c r="P43" i="81" s="1"/>
  <c r="D5" i="80"/>
  <c r="E8" i="77"/>
  <c r="C11" i="76"/>
  <c r="I48" i="81" s="1"/>
  <c r="E7" i="76"/>
  <c r="K44" i="81" s="1"/>
  <c r="C14" i="74"/>
  <c r="C6" i="74"/>
  <c r="L6" i="74" s="1"/>
  <c r="C11" i="74"/>
  <c r="AM11" i="74" s="1"/>
  <c r="C135" i="81" s="1"/>
  <c r="C3" i="74"/>
  <c r="L3" i="74" s="1"/>
  <c r="B14" i="76"/>
  <c r="H51" i="81" s="1"/>
  <c r="B10" i="76"/>
  <c r="H47" i="81" s="1"/>
  <c r="E11" i="77"/>
  <c r="E6" i="74"/>
  <c r="W6" i="74" s="1"/>
  <c r="E114" i="81" s="1"/>
  <c r="V83" i="77"/>
  <c r="AF83" i="77" s="1"/>
  <c r="P189" i="81" s="1"/>
  <c r="AN12" i="77"/>
  <c r="P136" i="81" s="1"/>
  <c r="V12" i="77"/>
  <c r="P120" i="81" s="1"/>
  <c r="P49" i="81"/>
  <c r="U77" i="74"/>
  <c r="AE77" i="74" s="1"/>
  <c r="C183" i="81" s="1"/>
  <c r="J42" i="81"/>
  <c r="AE24" i="76"/>
  <c r="AE43" i="76" s="1"/>
  <c r="U11" i="74"/>
  <c r="C119" i="81" s="1"/>
  <c r="AG76" i="80"/>
  <c r="M9" i="74"/>
  <c r="AN9" i="74"/>
  <c r="D133" i="81" s="1"/>
  <c r="V75" i="77"/>
  <c r="AF75" i="77" s="1"/>
  <c r="P181" i="81" s="1"/>
  <c r="AN4" i="77"/>
  <c r="P128" i="81" s="1"/>
  <c r="AE23" i="77"/>
  <c r="AE42" i="77" s="1"/>
  <c r="B5" i="76"/>
  <c r="H42" i="81" s="1"/>
  <c r="K41" i="81"/>
  <c r="AF23" i="76"/>
  <c r="AF42" i="76" s="1"/>
  <c r="AL6" i="77"/>
  <c r="N130" i="81" s="1"/>
  <c r="T6" i="77"/>
  <c r="N114" i="81" s="1"/>
  <c r="T77" i="77"/>
  <c r="AD77" i="77" s="1"/>
  <c r="U85" i="74"/>
  <c r="AE85" i="74" s="1"/>
  <c r="C191" i="81" s="1"/>
  <c r="AM3" i="74"/>
  <c r="C127" i="81" s="1"/>
  <c r="AN7" i="74"/>
  <c r="D131" i="81" s="1"/>
  <c r="V7" i="74"/>
  <c r="D115" i="81" s="1"/>
  <c r="V79" i="77"/>
  <c r="AF79" i="77" s="1"/>
  <c r="P185" i="81" s="1"/>
  <c r="V8" i="77"/>
  <c r="P116" i="81" s="1"/>
  <c r="P45" i="81"/>
  <c r="D10" i="77"/>
  <c r="M14" i="74"/>
  <c r="V85" i="74"/>
  <c r="AF85" i="74" s="1"/>
  <c r="D191" i="81" s="1"/>
  <c r="D8" i="74"/>
  <c r="M8" i="74" s="1"/>
  <c r="AN14" i="74"/>
  <c r="D138" i="81" s="1"/>
  <c r="H5" i="80"/>
  <c r="N43" i="81"/>
  <c r="T85" i="77"/>
  <c r="AD85" i="77" s="1"/>
  <c r="N191" i="81" s="1"/>
  <c r="AL14" i="77"/>
  <c r="N138" i="81" s="1"/>
  <c r="T14" i="77"/>
  <c r="N6" i="74"/>
  <c r="W77" i="74"/>
  <c r="AG77" i="74" s="1"/>
  <c r="E183" i="81" s="1"/>
  <c r="D3" i="80"/>
  <c r="V40" i="81" s="1"/>
  <c r="AE28" i="76"/>
  <c r="AE47" i="76" s="1"/>
  <c r="V80" i="74"/>
  <c r="AF80" i="74" s="1"/>
  <c r="D186" i="81" s="1"/>
  <c r="W42" i="81"/>
  <c r="F5" i="80"/>
  <c r="D13" i="77"/>
  <c r="B4" i="80"/>
  <c r="T41" i="81" s="1"/>
  <c r="V14" i="77"/>
  <c r="P122" i="81" s="1"/>
  <c r="P51" i="81"/>
  <c r="AN6" i="77"/>
  <c r="P130" i="81" s="1"/>
  <c r="AO8" i="77"/>
  <c r="Q132" i="81" s="1"/>
  <c r="W8" i="77"/>
  <c r="Q116" i="81" s="1"/>
  <c r="Q45" i="81"/>
  <c r="C12" i="77"/>
  <c r="U12" i="77" s="1"/>
  <c r="O120" i="81" s="1"/>
  <c r="C4" i="77"/>
  <c r="U75" i="77" s="1"/>
  <c r="AE75" i="77" s="1"/>
  <c r="O181" i="81" s="1"/>
  <c r="D3" i="77"/>
  <c r="P40" i="81" s="1"/>
  <c r="U81" i="74"/>
  <c r="AE81" i="74" s="1"/>
  <c r="C187" i="81" s="1"/>
  <c r="W75" i="74"/>
  <c r="AG75" i="74" s="1"/>
  <c r="E181" i="81" s="1"/>
  <c r="AE28" i="74"/>
  <c r="AE47" i="74" s="1"/>
  <c r="AD24" i="74"/>
  <c r="AD43" i="74" s="1"/>
  <c r="W74" i="77"/>
  <c r="AG74" i="77" s="1"/>
  <c r="Q180" i="81" s="1"/>
  <c r="G5" i="80"/>
  <c r="AL13" i="77"/>
  <c r="N137" i="81" s="1"/>
  <c r="T13" i="77"/>
  <c r="N121" i="81" s="1"/>
  <c r="E12" i="80"/>
  <c r="W49" i="81" s="1"/>
  <c r="E4" i="77"/>
  <c r="W4" i="77" s="1"/>
  <c r="Q112" i="81" s="1"/>
  <c r="E10" i="74"/>
  <c r="E6" i="77"/>
  <c r="W77" i="77" s="1"/>
  <c r="AG77" i="77" s="1"/>
  <c r="Q183" i="81" s="1"/>
  <c r="D4" i="80"/>
  <c r="AE23" i="80" s="1"/>
  <c r="AE42" i="80" s="1"/>
  <c r="D12" i="76"/>
  <c r="V12" i="76" s="1"/>
  <c r="J120" i="81" s="1"/>
  <c r="C10" i="77"/>
  <c r="AM10" i="77" s="1"/>
  <c r="O134" i="81" s="1"/>
  <c r="E11" i="80"/>
  <c r="F11" i="80" s="1"/>
  <c r="D14" i="80"/>
  <c r="D13" i="80"/>
  <c r="B8" i="77"/>
  <c r="E8" i="74"/>
  <c r="O42" i="81"/>
  <c r="AM5" i="77"/>
  <c r="O129" i="81" s="1"/>
  <c r="U76" i="77"/>
  <c r="AE76" i="77" s="1"/>
  <c r="O182" i="81" s="1"/>
  <c r="U5" i="77"/>
  <c r="O113" i="81" s="1"/>
  <c r="C46" i="81"/>
  <c r="U80" i="74"/>
  <c r="AM9" i="74"/>
  <c r="C133" i="81" s="1"/>
  <c r="U11" i="77"/>
  <c r="O119" i="81" s="1"/>
  <c r="AM11" i="77"/>
  <c r="O135" i="81" s="1"/>
  <c r="U82" i="77"/>
  <c r="AE82" i="77" s="1"/>
  <c r="O188" i="81" s="1"/>
  <c r="O48" i="81"/>
  <c r="O46" i="81"/>
  <c r="U80" i="77"/>
  <c r="AE80" i="77" s="1"/>
  <c r="O186" i="81" s="1"/>
  <c r="AM9" i="77"/>
  <c r="O133" i="81" s="1"/>
  <c r="U9" i="77"/>
  <c r="O117" i="81" s="1"/>
  <c r="AM7" i="77"/>
  <c r="O131" i="81" s="1"/>
  <c r="O44" i="81"/>
  <c r="U78" i="77"/>
  <c r="U7" i="77"/>
  <c r="O115" i="81" s="1"/>
  <c r="U3" i="74"/>
  <c r="C111" i="81" s="1"/>
  <c r="D12" i="80"/>
  <c r="H12" i="80" s="1"/>
  <c r="D11" i="80"/>
  <c r="E9" i="74"/>
  <c r="B4" i="77"/>
  <c r="G4" i="77" s="1"/>
  <c r="D9" i="80"/>
  <c r="AN9" i="80" s="1"/>
  <c r="V133" i="81" s="1"/>
  <c r="E7" i="74"/>
  <c r="AF26" i="74" s="1"/>
  <c r="AF45" i="74" s="1"/>
  <c r="D7" i="80"/>
  <c r="E5" i="74"/>
  <c r="E17" i="74" s="1"/>
  <c r="E11" i="74"/>
  <c r="AM8" i="74"/>
  <c r="C132" i="81" s="1"/>
  <c r="C45" i="81"/>
  <c r="U79" i="74"/>
  <c r="AE79" i="74" s="1"/>
  <c r="C185" i="81" s="1"/>
  <c r="O50" i="81"/>
  <c r="G13" i="77"/>
  <c r="AM13" i="77"/>
  <c r="O137" i="81" s="1"/>
  <c r="B118" i="76"/>
  <c r="C113" i="74"/>
  <c r="AD27" i="74" s="1"/>
  <c r="AD46" i="74" s="1"/>
  <c r="E4" i="80"/>
  <c r="AF23" i="80" s="1"/>
  <c r="AF42" i="80" s="1"/>
  <c r="E3" i="80"/>
  <c r="W40" i="81" s="1"/>
  <c r="E10" i="80"/>
  <c r="F10" i="80" s="1"/>
  <c r="E6" i="80"/>
  <c r="AF25" i="80" s="1"/>
  <c r="AF44" i="80" s="1"/>
  <c r="B119" i="80"/>
  <c r="T69" i="80" s="1"/>
  <c r="B113" i="77"/>
  <c r="B109" i="77"/>
  <c r="B13" i="76"/>
  <c r="H50" i="81" s="1"/>
  <c r="D5" i="77"/>
  <c r="F5" i="77" s="1"/>
  <c r="C6" i="76"/>
  <c r="I43" i="81" s="1"/>
  <c r="E8" i="80"/>
  <c r="F8" i="80" s="1"/>
  <c r="W6" i="77"/>
  <c r="Q114" i="81" s="1"/>
  <c r="V75" i="80"/>
  <c r="AF75" i="80" s="1"/>
  <c r="V181" i="81" s="1"/>
  <c r="V47" i="81"/>
  <c r="V81" i="80"/>
  <c r="AF81" i="80" s="1"/>
  <c r="V187" i="81" s="1"/>
  <c r="AE29" i="80"/>
  <c r="AE48" i="80" s="1"/>
  <c r="AN10" i="80"/>
  <c r="V134" i="81" s="1"/>
  <c r="V10" i="80"/>
  <c r="V118" i="81" s="1"/>
  <c r="G10" i="80"/>
  <c r="O67" i="81"/>
  <c r="U68" i="77"/>
  <c r="AE68" i="77" s="1"/>
  <c r="O174" i="81" s="1"/>
  <c r="U81" i="77"/>
  <c r="AE81" i="77" s="1"/>
  <c r="O187" i="81" s="1"/>
  <c r="AE32" i="80"/>
  <c r="AE51" i="80" s="1"/>
  <c r="P58" i="81"/>
  <c r="V59" i="77"/>
  <c r="AF59" i="77" s="1"/>
  <c r="P165" i="81" s="1"/>
  <c r="F6" i="77"/>
  <c r="U6" i="77"/>
  <c r="O114" i="81" s="1"/>
  <c r="AM6" i="77"/>
  <c r="V78" i="74"/>
  <c r="AF78" i="74" s="1"/>
  <c r="D184" i="81" s="1"/>
  <c r="AN11" i="74"/>
  <c r="D135" i="81" s="1"/>
  <c r="H9" i="80"/>
  <c r="AO5" i="77"/>
  <c r="Q129" i="81" s="1"/>
  <c r="AF24" i="77"/>
  <c r="AF43" i="77" s="1"/>
  <c r="W67" i="77"/>
  <c r="AG67" i="77" s="1"/>
  <c r="Q173" i="81" s="1"/>
  <c r="W59" i="77"/>
  <c r="AG59" i="77" s="1"/>
  <c r="Q165" i="81" s="1"/>
  <c r="Q61" i="81"/>
  <c r="W62" i="77"/>
  <c r="AG62" i="77" s="1"/>
  <c r="Q168" i="81" s="1"/>
  <c r="V66" i="76"/>
  <c r="AF66" i="76" s="1"/>
  <c r="J172" i="81" s="1"/>
  <c r="J65" i="81"/>
  <c r="AM4" i="77"/>
  <c r="O128" i="81" s="1"/>
  <c r="D120" i="76"/>
  <c r="J69" i="81" s="1"/>
  <c r="C14" i="76"/>
  <c r="U85" i="76" s="1"/>
  <c r="AE85" i="76" s="1"/>
  <c r="I191" i="81" s="1"/>
  <c r="L13" i="74"/>
  <c r="U13" i="74"/>
  <c r="C121" i="81" s="1"/>
  <c r="L8" i="74"/>
  <c r="U8" i="74"/>
  <c r="C116" i="81" s="1"/>
  <c r="B111" i="80"/>
  <c r="U84" i="77"/>
  <c r="AD32" i="77"/>
  <c r="AD51" i="77" s="1"/>
  <c r="T67" i="77"/>
  <c r="AD67" i="77" s="1"/>
  <c r="N173" i="81" s="1"/>
  <c r="N66" i="81"/>
  <c r="N62" i="81"/>
  <c r="T63" i="77"/>
  <c r="N58" i="81"/>
  <c r="T59" i="77"/>
  <c r="E123" i="74"/>
  <c r="K49" i="81"/>
  <c r="AF31" i="76"/>
  <c r="AF50" i="76" s="1"/>
  <c r="K65" i="81"/>
  <c r="W66" i="76"/>
  <c r="AG66" i="76" s="1"/>
  <c r="K172" i="81" s="1"/>
  <c r="K57" i="81"/>
  <c r="E120" i="76"/>
  <c r="K69" i="81" s="1"/>
  <c r="J66" i="81"/>
  <c r="D122" i="76"/>
  <c r="P62" i="81"/>
  <c r="V63" i="77"/>
  <c r="AF63" i="77" s="1"/>
  <c r="P169" i="81" s="1"/>
  <c r="AI169" i="81" s="1"/>
  <c r="AE27" i="77"/>
  <c r="AE46" i="77" s="1"/>
  <c r="D123" i="80"/>
  <c r="V63" i="80"/>
  <c r="AF63" i="80" s="1"/>
  <c r="V169" i="81" s="1"/>
  <c r="V62" i="81"/>
  <c r="P67" i="81"/>
  <c r="V68" i="77"/>
  <c r="AF68" i="77" s="1"/>
  <c r="P174" i="81" s="1"/>
  <c r="P63" i="81"/>
  <c r="V64" i="77"/>
  <c r="AF64" i="77" s="1"/>
  <c r="P170" i="81" s="1"/>
  <c r="P59" i="81"/>
  <c r="V60" i="77"/>
  <c r="AF60" i="77" s="1"/>
  <c r="P166" i="81" s="1"/>
  <c r="C110" i="77"/>
  <c r="L10" i="74"/>
  <c r="U10" i="74"/>
  <c r="C118" i="81" s="1"/>
  <c r="P66" i="81"/>
  <c r="AE31" i="77"/>
  <c r="AE50" i="77" s="1"/>
  <c r="U75" i="74"/>
  <c r="AE75" i="74" s="1"/>
  <c r="C181" i="81" s="1"/>
  <c r="AE26" i="74"/>
  <c r="AE45" i="74" s="1"/>
  <c r="V82" i="74"/>
  <c r="AF82" i="74" s="1"/>
  <c r="D188" i="81" s="1"/>
  <c r="T67" i="74"/>
  <c r="AD67" i="74" s="1"/>
  <c r="B173" i="81" s="1"/>
  <c r="AM4" i="74"/>
  <c r="C128" i="81" s="1"/>
  <c r="AJ168" i="81"/>
  <c r="W65" i="74"/>
  <c r="AG65" i="74" s="1"/>
  <c r="E171" i="81" s="1"/>
  <c r="AF29" i="74"/>
  <c r="AF48" i="74" s="1"/>
  <c r="E122" i="76"/>
  <c r="U77" i="77"/>
  <c r="AE77" i="77" s="1"/>
  <c r="O183" i="81" s="1"/>
  <c r="T75" i="80"/>
  <c r="N42" i="81"/>
  <c r="W63" i="77"/>
  <c r="AG63" i="77" s="1"/>
  <c r="Q169" i="81" s="1"/>
  <c r="Q65" i="81"/>
  <c r="W66" i="77"/>
  <c r="AG66" i="77" s="1"/>
  <c r="Q172" i="81" s="1"/>
  <c r="L9" i="74"/>
  <c r="U9" i="74"/>
  <c r="C117" i="81" s="1"/>
  <c r="F12" i="77"/>
  <c r="F8" i="77"/>
  <c r="U8" i="77"/>
  <c r="O116" i="81" s="1"/>
  <c r="V67" i="80"/>
  <c r="AF67" i="80" s="1"/>
  <c r="V173" i="81" s="1"/>
  <c r="D123" i="76"/>
  <c r="B115" i="74"/>
  <c r="B112" i="80"/>
  <c r="B108" i="77"/>
  <c r="T58" i="77" s="1"/>
  <c r="Z58" i="77" s="1"/>
  <c r="B108" i="76"/>
  <c r="B117" i="80"/>
  <c r="H117" i="80" s="1"/>
  <c r="B109" i="80"/>
  <c r="C115" i="74"/>
  <c r="B11" i="77"/>
  <c r="G11" i="77" s="1"/>
  <c r="B7" i="77"/>
  <c r="H7" i="77" s="1"/>
  <c r="B117" i="76"/>
  <c r="B113" i="76"/>
  <c r="B109" i="76"/>
  <c r="B115" i="80"/>
  <c r="G115" i="80" s="1"/>
  <c r="B119" i="77"/>
  <c r="B115" i="77"/>
  <c r="AC29" i="77" s="1"/>
  <c r="B111" i="77"/>
  <c r="U63" i="77"/>
  <c r="AE63" i="77" s="1"/>
  <c r="O169" i="81" s="1"/>
  <c r="C14" i="77"/>
  <c r="B116" i="80"/>
  <c r="C112" i="74"/>
  <c r="B113" i="80"/>
  <c r="G113" i="80" s="1"/>
  <c r="B9" i="77"/>
  <c r="B119" i="76"/>
  <c r="B115" i="76"/>
  <c r="B111" i="76"/>
  <c r="AO12" i="80"/>
  <c r="W136" i="81" s="1"/>
  <c r="G12" i="80"/>
  <c r="Q41" i="81"/>
  <c r="W75" i="77"/>
  <c r="AO4" i="77"/>
  <c r="Q128" i="81" s="1"/>
  <c r="O65" i="81"/>
  <c r="AD30" i="77"/>
  <c r="AD49" i="77" s="1"/>
  <c r="U66" i="77"/>
  <c r="AE66" i="77" s="1"/>
  <c r="O172" i="81" s="1"/>
  <c r="D40" i="81"/>
  <c r="M3" i="74"/>
  <c r="E40" i="81"/>
  <c r="N3" i="74"/>
  <c r="O63" i="81"/>
  <c r="AD28" i="77"/>
  <c r="AD47" i="77" s="1"/>
  <c r="U64" i="77"/>
  <c r="AE64" i="77" s="1"/>
  <c r="O170" i="81" s="1"/>
  <c r="O61" i="81"/>
  <c r="U62" i="77"/>
  <c r="AE62" i="77" s="1"/>
  <c r="O168" i="81" s="1"/>
  <c r="AD26" i="77"/>
  <c r="AD45" i="77" s="1"/>
  <c r="T66" i="74"/>
  <c r="AD66" i="74" s="1"/>
  <c r="B172" i="81" s="1"/>
  <c r="D44" i="81"/>
  <c r="M7" i="74"/>
  <c r="W57" i="81"/>
  <c r="W58" i="80"/>
  <c r="AF3" i="80"/>
  <c r="AF15" i="80" s="1"/>
  <c r="E122" i="80"/>
  <c r="E120" i="80"/>
  <c r="W69" i="81" s="1"/>
  <c r="W60" i="81"/>
  <c r="W61" i="80"/>
  <c r="AF6" i="80"/>
  <c r="E123" i="80"/>
  <c r="V63" i="81"/>
  <c r="V64" i="80"/>
  <c r="AF64" i="80" s="1"/>
  <c r="V170" i="81" s="1"/>
  <c r="AE9" i="80"/>
  <c r="C113" i="76"/>
  <c r="B114" i="80"/>
  <c r="G117" i="77"/>
  <c r="H113" i="77"/>
  <c r="C119" i="77"/>
  <c r="C111" i="77"/>
  <c r="C108" i="76"/>
  <c r="F111" i="80"/>
  <c r="H109" i="80"/>
  <c r="B116" i="77"/>
  <c r="AC30" i="77" s="1"/>
  <c r="B116" i="76"/>
  <c r="AF28" i="76"/>
  <c r="AF47" i="76" s="1"/>
  <c r="W68" i="81"/>
  <c r="W69" i="80"/>
  <c r="AG69" i="80" s="1"/>
  <c r="AJ175" i="81" s="1"/>
  <c r="AF14" i="80"/>
  <c r="Q57" i="81"/>
  <c r="E122" i="77"/>
  <c r="E120" i="77"/>
  <c r="P57" i="81"/>
  <c r="D122" i="77"/>
  <c r="D120" i="77"/>
  <c r="Q60" i="81"/>
  <c r="E123" i="77"/>
  <c r="V61" i="81"/>
  <c r="AE7" i="80"/>
  <c r="V62" i="80"/>
  <c r="AF62" i="80" s="1"/>
  <c r="V168" i="81" s="1"/>
  <c r="AI168" i="81" s="1"/>
  <c r="P60" i="81"/>
  <c r="D123" i="77"/>
  <c r="C119" i="76"/>
  <c r="C111" i="76"/>
  <c r="C44" i="81"/>
  <c r="L7" i="74"/>
  <c r="T61" i="81"/>
  <c r="AC7" i="80"/>
  <c r="F112" i="80"/>
  <c r="AC26" i="80"/>
  <c r="G112" i="80"/>
  <c r="T62" i="80"/>
  <c r="H112" i="80"/>
  <c r="H117" i="77"/>
  <c r="G113" i="77"/>
  <c r="F109" i="77"/>
  <c r="C116" i="76"/>
  <c r="AD30" i="76" s="1"/>
  <c r="AD49" i="76" s="1"/>
  <c r="C112" i="76"/>
  <c r="F119" i="80"/>
  <c r="AC14" i="80"/>
  <c r="B114" i="77"/>
  <c r="B114" i="76"/>
  <c r="B114" i="74"/>
  <c r="AM6" i="74"/>
  <c r="C130" i="81" s="1"/>
  <c r="W66" i="81"/>
  <c r="W67" i="80"/>
  <c r="AF12" i="80"/>
  <c r="W64" i="81"/>
  <c r="W65" i="80"/>
  <c r="AF10" i="80"/>
  <c r="W58" i="81"/>
  <c r="AF4" i="80"/>
  <c r="W59" i="80"/>
  <c r="V67" i="81"/>
  <c r="V68" i="80"/>
  <c r="AF68" i="80" s="1"/>
  <c r="V174" i="81" s="1"/>
  <c r="AE13" i="80"/>
  <c r="V59" i="81"/>
  <c r="V60" i="80"/>
  <c r="AF60" i="80" s="1"/>
  <c r="V166" i="81" s="1"/>
  <c r="AE5" i="80"/>
  <c r="V57" i="81"/>
  <c r="AE3" i="80"/>
  <c r="AE15" i="80" s="1"/>
  <c r="V58" i="80"/>
  <c r="D120" i="80"/>
  <c r="V69" i="81" s="1"/>
  <c r="D122" i="80"/>
  <c r="O57" i="81"/>
  <c r="C122" i="77"/>
  <c r="C117" i="76"/>
  <c r="C109" i="76"/>
  <c r="B118" i="80"/>
  <c r="B110" i="80"/>
  <c r="B108" i="80"/>
  <c r="F117" i="77"/>
  <c r="F113" i="77"/>
  <c r="H109" i="77"/>
  <c r="C115" i="77"/>
  <c r="C116" i="74"/>
  <c r="G117" i="80"/>
  <c r="H111" i="80"/>
  <c r="B112" i="77"/>
  <c r="B112" i="76"/>
  <c r="AC26" i="76" s="1"/>
  <c r="C42" i="81"/>
  <c r="L5" i="74"/>
  <c r="K60" i="81"/>
  <c r="E123" i="76"/>
  <c r="W62" i="81"/>
  <c r="AF8" i="80"/>
  <c r="W63" i="80"/>
  <c r="V65" i="81"/>
  <c r="AE11" i="80"/>
  <c r="V66" i="80"/>
  <c r="AF66" i="80" s="1"/>
  <c r="V172" i="81" s="1"/>
  <c r="C115" i="76"/>
  <c r="C48" i="81"/>
  <c r="L11" i="74"/>
  <c r="T65" i="81"/>
  <c r="H116" i="80"/>
  <c r="F116" i="80"/>
  <c r="AC30" i="80"/>
  <c r="G116" i="80"/>
  <c r="T66" i="80"/>
  <c r="AC11" i="80"/>
  <c r="G109" i="77"/>
  <c r="C114" i="74"/>
  <c r="C118" i="76"/>
  <c r="C114" i="76"/>
  <c r="C110" i="76"/>
  <c r="AD24" i="76" s="1"/>
  <c r="AD43" i="76" s="1"/>
  <c r="H113" i="80"/>
  <c r="G111" i="80"/>
  <c r="G109" i="80"/>
  <c r="N67" i="81"/>
  <c r="F118" i="77"/>
  <c r="H118" i="77"/>
  <c r="G118" i="77"/>
  <c r="N59" i="81"/>
  <c r="H110" i="77"/>
  <c r="H108" i="77"/>
  <c r="B110" i="76"/>
  <c r="AC24" i="76" s="1"/>
  <c r="U59" i="74"/>
  <c r="AE59" i="74" s="1"/>
  <c r="C165" i="81" s="1"/>
  <c r="C58" i="81"/>
  <c r="AF23" i="74"/>
  <c r="AF42" i="74" s="1"/>
  <c r="E58" i="81"/>
  <c r="T60" i="74"/>
  <c r="AD60" i="74" s="1"/>
  <c r="B166" i="81" s="1"/>
  <c r="B59" i="81"/>
  <c r="V68" i="74"/>
  <c r="AF68" i="74" s="1"/>
  <c r="D174" i="81" s="1"/>
  <c r="AI174" i="81" s="1"/>
  <c r="D67" i="81"/>
  <c r="AD32" i="74"/>
  <c r="AD51" i="74" s="1"/>
  <c r="C67" i="81"/>
  <c r="V58" i="74"/>
  <c r="D57" i="81"/>
  <c r="B67" i="81"/>
  <c r="D123" i="74"/>
  <c r="D60" i="81"/>
  <c r="U67" i="74"/>
  <c r="AE67" i="74" s="1"/>
  <c r="C173" i="81" s="1"/>
  <c r="C66" i="81"/>
  <c r="AF31" i="74"/>
  <c r="AF50" i="74" s="1"/>
  <c r="E66" i="81"/>
  <c r="V6" i="74"/>
  <c r="D43" i="81"/>
  <c r="AD31" i="76"/>
  <c r="AD50" i="76" s="1"/>
  <c r="I49" i="81"/>
  <c r="AE33" i="76"/>
  <c r="AE52" i="76" s="1"/>
  <c r="J51" i="81"/>
  <c r="U12" i="74"/>
  <c r="C120" i="81" s="1"/>
  <c r="C49" i="81"/>
  <c r="V84" i="74"/>
  <c r="AF84" i="74" s="1"/>
  <c r="D190" i="81" s="1"/>
  <c r="D50" i="81"/>
  <c r="N190" i="81"/>
  <c r="W76" i="77"/>
  <c r="Q42" i="81"/>
  <c r="V12" i="74"/>
  <c r="D120" i="81" s="1"/>
  <c r="D49" i="81"/>
  <c r="V4" i="74"/>
  <c r="D41" i="81"/>
  <c r="C113" i="81"/>
  <c r="AD32" i="76"/>
  <c r="AD51" i="76" s="1"/>
  <c r="I50" i="81"/>
  <c r="V14" i="74"/>
  <c r="D122" i="81" s="1"/>
  <c r="D51" i="81"/>
  <c r="U6" i="74"/>
  <c r="C114" i="81" s="1"/>
  <c r="C43" i="81"/>
  <c r="V5" i="74"/>
  <c r="D113" i="81" s="1"/>
  <c r="D42" i="81"/>
  <c r="N136" i="81"/>
  <c r="AO12" i="77"/>
  <c r="Q136" i="81" s="1"/>
  <c r="Q49" i="81"/>
  <c r="AE31" i="76"/>
  <c r="AE50" i="76" s="1"/>
  <c r="J49" i="81"/>
  <c r="U4" i="74"/>
  <c r="C112" i="81" s="1"/>
  <c r="C41" i="81"/>
  <c r="N183" i="81"/>
  <c r="N129" i="81"/>
  <c r="AF24" i="76"/>
  <c r="AF43" i="76" s="1"/>
  <c r="K42" i="81"/>
  <c r="AE32" i="76"/>
  <c r="AE51" i="76" s="1"/>
  <c r="J50" i="81"/>
  <c r="U14" i="74"/>
  <c r="C122" i="81" s="1"/>
  <c r="C51" i="81"/>
  <c r="V8" i="74"/>
  <c r="D116" i="81" s="1"/>
  <c r="AD27" i="76"/>
  <c r="AD46" i="76" s="1"/>
  <c r="I45" i="81"/>
  <c r="AF29" i="76"/>
  <c r="AF48" i="76" s="1"/>
  <c r="K47" i="81"/>
  <c r="AD28" i="76"/>
  <c r="AD47" i="76" s="1"/>
  <c r="I46" i="81"/>
  <c r="AE30" i="76"/>
  <c r="AE49" i="76" s="1"/>
  <c r="J48" i="81"/>
  <c r="AE26" i="76"/>
  <c r="AE45" i="76" s="1"/>
  <c r="J44" i="81"/>
  <c r="V9" i="74"/>
  <c r="D117" i="81" s="1"/>
  <c r="D46" i="81"/>
  <c r="AF30" i="77"/>
  <c r="AF49" i="77" s="1"/>
  <c r="Q48" i="81"/>
  <c r="AE28" i="77"/>
  <c r="AE47" i="77" s="1"/>
  <c r="P46" i="81"/>
  <c r="Q118" i="81"/>
  <c r="AF28" i="77"/>
  <c r="AF47" i="77" s="1"/>
  <c r="Q46" i="81"/>
  <c r="AE26" i="77"/>
  <c r="AE45" i="77" s="1"/>
  <c r="P44" i="81"/>
  <c r="AE27" i="76"/>
  <c r="AE46" i="76" s="1"/>
  <c r="J45" i="81"/>
  <c r="F9" i="80"/>
  <c r="W46" i="81"/>
  <c r="AF26" i="77"/>
  <c r="AF45" i="77" s="1"/>
  <c r="Q44" i="81"/>
  <c r="V10" i="74"/>
  <c r="D118" i="81" s="1"/>
  <c r="D47" i="81"/>
  <c r="V11" i="74"/>
  <c r="D48" i="81"/>
  <c r="W44" i="81"/>
  <c r="AE30" i="77"/>
  <c r="AE49" i="77" s="1"/>
  <c r="P48" i="81"/>
  <c r="AO10" i="77"/>
  <c r="Q47" i="81"/>
  <c r="AF31" i="77"/>
  <c r="AF50" i="77" s="1"/>
  <c r="W12" i="77"/>
  <c r="E17" i="77"/>
  <c r="W83" i="77"/>
  <c r="H12" i="77"/>
  <c r="AH7" i="77"/>
  <c r="AG7" i="77"/>
  <c r="AC15" i="77"/>
  <c r="AI7" i="77"/>
  <c r="G5" i="77"/>
  <c r="AG10" i="77"/>
  <c r="AI10" i="77"/>
  <c r="AH10" i="77"/>
  <c r="AH9" i="77"/>
  <c r="AG9" i="77"/>
  <c r="AI9" i="77"/>
  <c r="AG14" i="74"/>
  <c r="AH14" i="74"/>
  <c r="AG13" i="74"/>
  <c r="U74" i="77"/>
  <c r="AE74" i="77" s="1"/>
  <c r="O180" i="81" s="1"/>
  <c r="U3" i="77"/>
  <c r="O111" i="81" s="1"/>
  <c r="AM3" i="77"/>
  <c r="O127" i="81" s="1"/>
  <c r="AN3" i="80"/>
  <c r="V127" i="81" s="1"/>
  <c r="X5" i="77"/>
  <c r="X13" i="77"/>
  <c r="B3" i="77"/>
  <c r="AD81" i="77"/>
  <c r="N187" i="81" s="1"/>
  <c r="H7" i="80"/>
  <c r="W81" i="77"/>
  <c r="AF29" i="77"/>
  <c r="AF48" i="77" s="1"/>
  <c r="F11" i="77"/>
  <c r="AE30" i="74"/>
  <c r="AE49" i="74" s="1"/>
  <c r="H11" i="77"/>
  <c r="W78" i="80"/>
  <c r="W7" i="80"/>
  <c r="W115" i="81" s="1"/>
  <c r="AF26" i="80"/>
  <c r="AO7" i="80"/>
  <c r="W131" i="81" s="1"/>
  <c r="V11" i="77"/>
  <c r="V82" i="77"/>
  <c r="AN11" i="77"/>
  <c r="P135" i="81" s="1"/>
  <c r="AE78" i="77"/>
  <c r="O184" i="81" s="1"/>
  <c r="W11" i="77"/>
  <c r="Q119" i="81" s="1"/>
  <c r="AO11" i="77"/>
  <c r="Q135" i="81" s="1"/>
  <c r="W82" i="77"/>
  <c r="AG82" i="77" s="1"/>
  <c r="Q188" i="81" s="1"/>
  <c r="V9" i="77"/>
  <c r="P117" i="81" s="1"/>
  <c r="AN9" i="77"/>
  <c r="P133" i="81" s="1"/>
  <c r="V80" i="77"/>
  <c r="AF30" i="80"/>
  <c r="AF49" i="80" s="1"/>
  <c r="W9" i="77"/>
  <c r="Q117" i="81" s="1"/>
  <c r="W80" i="77"/>
  <c r="AG80" i="77" s="1"/>
  <c r="Q186" i="81" s="1"/>
  <c r="AO9" i="77"/>
  <c r="Q133" i="81" s="1"/>
  <c r="V7" i="77"/>
  <c r="P115" i="81" s="1"/>
  <c r="AN7" i="77"/>
  <c r="P131" i="81" s="1"/>
  <c r="V78" i="77"/>
  <c r="V79" i="80"/>
  <c r="G8" i="80"/>
  <c r="V8" i="80"/>
  <c r="V116" i="81" s="1"/>
  <c r="AN8" i="80"/>
  <c r="V132" i="81" s="1"/>
  <c r="AE27" i="80"/>
  <c r="W80" i="80"/>
  <c r="W9" i="80"/>
  <c r="AO9" i="80"/>
  <c r="W133" i="81" s="1"/>
  <c r="W7" i="77"/>
  <c r="AO7" i="77"/>
  <c r="Q131" i="81" s="1"/>
  <c r="W78" i="77"/>
  <c r="W67" i="74"/>
  <c r="AG67" i="74" s="1"/>
  <c r="E173" i="81" s="1"/>
  <c r="W28" i="80"/>
  <c r="AF28" i="80" s="1"/>
  <c r="O28" i="80"/>
  <c r="O37" i="80" s="1"/>
  <c r="P28" i="80"/>
  <c r="P37" i="80" s="1"/>
  <c r="V22" i="80"/>
  <c r="AE22" i="80" s="1"/>
  <c r="Q22" i="80"/>
  <c r="Q36" i="80" s="1"/>
  <c r="O22" i="80"/>
  <c r="O36" i="80" s="1"/>
  <c r="M34" i="80"/>
  <c r="P22" i="80"/>
  <c r="P36" i="80" s="1"/>
  <c r="Q58" i="80"/>
  <c r="AD34" i="80"/>
  <c r="AD53" i="80"/>
  <c r="AE44" i="80"/>
  <c r="AE70" i="80"/>
  <c r="U176" i="81" s="1"/>
  <c r="AC45" i="80"/>
  <c r="P37" i="77"/>
  <c r="Q37" i="77"/>
  <c r="U37" i="77"/>
  <c r="AD25" i="77"/>
  <c r="AD44" i="77" s="1"/>
  <c r="Y26" i="77"/>
  <c r="X26" i="77"/>
  <c r="Z26" i="77"/>
  <c r="P36" i="77"/>
  <c r="AG58" i="77"/>
  <c r="V34" i="77"/>
  <c r="V36" i="77"/>
  <c r="T37" i="77"/>
  <c r="Z25" i="77"/>
  <c r="Y25" i="77"/>
  <c r="X25" i="77"/>
  <c r="AC25" i="77"/>
  <c r="Y30" i="77"/>
  <c r="X30" i="77"/>
  <c r="Z30" i="77"/>
  <c r="AD59" i="77"/>
  <c r="N165" i="81" s="1"/>
  <c r="V70" i="77"/>
  <c r="AF58" i="77"/>
  <c r="X31" i="77"/>
  <c r="AC31" i="77"/>
  <c r="Z31" i="77"/>
  <c r="Y31" i="77"/>
  <c r="AD60" i="77"/>
  <c r="N166" i="81" s="1"/>
  <c r="Q36" i="77"/>
  <c r="X27" i="77"/>
  <c r="Z27" i="77"/>
  <c r="Y27" i="77"/>
  <c r="X23" i="77"/>
  <c r="Z23" i="77"/>
  <c r="Y23" i="77"/>
  <c r="AC33" i="77"/>
  <c r="Z33" i="77"/>
  <c r="Y33" i="77"/>
  <c r="X33" i="77"/>
  <c r="Z29" i="77"/>
  <c r="Y29" i="77"/>
  <c r="X29" i="77"/>
  <c r="O37" i="77"/>
  <c r="AE58" i="77"/>
  <c r="AC32" i="77"/>
  <c r="Z32" i="77"/>
  <c r="Y32" i="77"/>
  <c r="X32" i="77"/>
  <c r="T34" i="77"/>
  <c r="T36" i="77"/>
  <c r="Y22" i="77"/>
  <c r="X22" i="77"/>
  <c r="Z22" i="77"/>
  <c r="W37" i="77"/>
  <c r="V37" i="77"/>
  <c r="X68" i="77"/>
  <c r="AD68" i="77"/>
  <c r="N174" i="81" s="1"/>
  <c r="Z68" i="77"/>
  <c r="Y68" i="77"/>
  <c r="Z28" i="77"/>
  <c r="Y28" i="77"/>
  <c r="X28" i="77"/>
  <c r="AC24" i="77"/>
  <c r="Z24" i="77"/>
  <c r="Y24" i="77"/>
  <c r="X24" i="77"/>
  <c r="W36" i="77"/>
  <c r="W34" i="77"/>
  <c r="AF22" i="77"/>
  <c r="AD63" i="77"/>
  <c r="N169" i="81" s="1"/>
  <c r="AD58" i="77"/>
  <c r="N164" i="81" s="1"/>
  <c r="U34" i="77"/>
  <c r="U36" i="77"/>
  <c r="AD22" i="77"/>
  <c r="O36" i="77"/>
  <c r="P66" i="74"/>
  <c r="P65" i="74"/>
  <c r="AG4" i="74"/>
  <c r="AH7" i="74"/>
  <c r="AH11" i="74"/>
  <c r="AH4" i="74"/>
  <c r="P29" i="74"/>
  <c r="Q65" i="74"/>
  <c r="T58" i="74"/>
  <c r="AD58" i="74" s="1"/>
  <c r="B164" i="81" s="1"/>
  <c r="O64" i="74"/>
  <c r="Q64" i="74"/>
  <c r="O59" i="74"/>
  <c r="M70" i="74"/>
  <c r="O66" i="74"/>
  <c r="Q26" i="74"/>
  <c r="AI7" i="74"/>
  <c r="Z23" i="74"/>
  <c r="P25" i="74"/>
  <c r="AI10" i="74"/>
  <c r="AD23" i="74"/>
  <c r="AD42" i="74" s="1"/>
  <c r="Q63" i="74"/>
  <c r="P64" i="74"/>
  <c r="Q58" i="74"/>
  <c r="P60" i="74"/>
  <c r="Q67" i="74"/>
  <c r="Q68" i="74"/>
  <c r="P69" i="74"/>
  <c r="AI13" i="74"/>
  <c r="O30" i="74"/>
  <c r="W25" i="74"/>
  <c r="AI6" i="74"/>
  <c r="AI14" i="74"/>
  <c r="Y30" i="74"/>
  <c r="Z30" i="74"/>
  <c r="X30" i="74"/>
  <c r="P22" i="74"/>
  <c r="P63" i="74"/>
  <c r="O69" i="74"/>
  <c r="P67" i="74"/>
  <c r="Q28" i="74"/>
  <c r="Y33" i="74"/>
  <c r="P28" i="74"/>
  <c r="AH10" i="74"/>
  <c r="Q60" i="74"/>
  <c r="AG10" i="74"/>
  <c r="P68" i="74"/>
  <c r="AH6" i="74"/>
  <c r="P58" i="74"/>
  <c r="P26" i="74"/>
  <c r="P30" i="74"/>
  <c r="U60" i="74"/>
  <c r="AE60" i="74" s="1"/>
  <c r="C166" i="81" s="1"/>
  <c r="O26" i="74"/>
  <c r="Q61" i="74"/>
  <c r="O68" i="74"/>
  <c r="O63" i="74"/>
  <c r="V60" i="74"/>
  <c r="AF60" i="74" s="1"/>
  <c r="D166" i="81" s="1"/>
  <c r="N70" i="74"/>
  <c r="O32" i="74"/>
  <c r="K70" i="74"/>
  <c r="AH13" i="74"/>
  <c r="O58" i="74"/>
  <c r="X23" i="74"/>
  <c r="Q30" i="74"/>
  <c r="Y23" i="74"/>
  <c r="P32" i="74"/>
  <c r="U69" i="74"/>
  <c r="AE69" i="74" s="1"/>
  <c r="C175" i="81" s="1"/>
  <c r="AN13" i="74"/>
  <c r="D137" i="81" s="1"/>
  <c r="AM12" i="74"/>
  <c r="C136" i="81" s="1"/>
  <c r="V13" i="74"/>
  <c r="V76" i="74"/>
  <c r="AF76" i="74" s="1"/>
  <c r="D182" i="81" s="1"/>
  <c r="C18" i="74"/>
  <c r="U83" i="74"/>
  <c r="AE83" i="74" s="1"/>
  <c r="C189" i="81" s="1"/>
  <c r="U77" i="76"/>
  <c r="AE77" i="76" s="1"/>
  <c r="I183" i="81" s="1"/>
  <c r="W6" i="76"/>
  <c r="K114" i="81" s="1"/>
  <c r="W77" i="76"/>
  <c r="AG77" i="76" s="1"/>
  <c r="K183" i="81" s="1"/>
  <c r="AO6" i="76"/>
  <c r="K130" i="81" s="1"/>
  <c r="U13" i="76"/>
  <c r="I121" i="81" s="1"/>
  <c r="AM13" i="76"/>
  <c r="I137" i="81" s="1"/>
  <c r="U84" i="76"/>
  <c r="AE84" i="76" s="1"/>
  <c r="I190" i="81" s="1"/>
  <c r="C3" i="76"/>
  <c r="I40" i="81" s="1"/>
  <c r="W4" i="76"/>
  <c r="K112" i="81" s="1"/>
  <c r="W75" i="76"/>
  <c r="AG75" i="76" s="1"/>
  <c r="K181" i="81" s="1"/>
  <c r="AO4" i="76"/>
  <c r="K128" i="81" s="1"/>
  <c r="W3" i="76"/>
  <c r="K111" i="81" s="1"/>
  <c r="W74" i="76"/>
  <c r="AG74" i="76" s="1"/>
  <c r="K180" i="81" s="1"/>
  <c r="AO3" i="76"/>
  <c r="K127" i="81" s="1"/>
  <c r="E17" i="76"/>
  <c r="V76" i="76"/>
  <c r="AF76" i="76" s="1"/>
  <c r="J182" i="81" s="1"/>
  <c r="V5" i="76"/>
  <c r="J113" i="81" s="1"/>
  <c r="AN5" i="76"/>
  <c r="J129" i="81" s="1"/>
  <c r="W12" i="76"/>
  <c r="K120" i="81" s="1"/>
  <c r="AO12" i="76"/>
  <c r="K136" i="81" s="1"/>
  <c r="W83" i="76"/>
  <c r="AG83" i="76" s="1"/>
  <c r="K189" i="81" s="1"/>
  <c r="V75" i="76"/>
  <c r="AF75" i="76" s="1"/>
  <c r="J181" i="81" s="1"/>
  <c r="V4" i="76"/>
  <c r="J112" i="81" s="1"/>
  <c r="AN4" i="76"/>
  <c r="J128" i="81" s="1"/>
  <c r="T76" i="76"/>
  <c r="G5" i="76"/>
  <c r="T6" i="76"/>
  <c r="H114" i="81" s="1"/>
  <c r="T77" i="76"/>
  <c r="AL6" i="76"/>
  <c r="H130" i="81" s="1"/>
  <c r="H6" i="76"/>
  <c r="F13" i="76"/>
  <c r="B3" i="76"/>
  <c r="AE23" i="76"/>
  <c r="AE42" i="76" s="1"/>
  <c r="G12" i="76"/>
  <c r="U12" i="76"/>
  <c r="I120" i="81" s="1"/>
  <c r="AM12" i="76"/>
  <c r="I136" i="81" s="1"/>
  <c r="U83" i="76"/>
  <c r="AE83" i="76" s="1"/>
  <c r="I189" i="81" s="1"/>
  <c r="U4" i="76"/>
  <c r="I112" i="81" s="1"/>
  <c r="AM4" i="76"/>
  <c r="I128" i="81" s="1"/>
  <c r="U75" i="76"/>
  <c r="AE75" i="76" s="1"/>
  <c r="I181" i="81" s="1"/>
  <c r="T12" i="76"/>
  <c r="H120" i="81" s="1"/>
  <c r="T83" i="76"/>
  <c r="AL12" i="76"/>
  <c r="H136" i="81" s="1"/>
  <c r="F12" i="76"/>
  <c r="T4" i="76"/>
  <c r="H112" i="81" s="1"/>
  <c r="T75" i="76"/>
  <c r="G4" i="76"/>
  <c r="H4" i="76"/>
  <c r="AL4" i="76"/>
  <c r="H128" i="81" s="1"/>
  <c r="F4" i="76"/>
  <c r="V85" i="76"/>
  <c r="AF85" i="76" s="1"/>
  <c r="J191" i="81" s="1"/>
  <c r="V14" i="76"/>
  <c r="J122" i="81" s="1"/>
  <c r="AN14" i="76"/>
  <c r="J138" i="81" s="1"/>
  <c r="T14" i="76"/>
  <c r="H122" i="81" s="1"/>
  <c r="T85" i="76"/>
  <c r="AL14" i="76"/>
  <c r="H138" i="81" s="1"/>
  <c r="U5" i="76"/>
  <c r="I113" i="81" s="1"/>
  <c r="U76" i="76"/>
  <c r="AE76" i="76" s="1"/>
  <c r="I182" i="81" s="1"/>
  <c r="AM5" i="76"/>
  <c r="I129" i="81" s="1"/>
  <c r="V77" i="76"/>
  <c r="AF77" i="76" s="1"/>
  <c r="J183" i="81" s="1"/>
  <c r="V6" i="76"/>
  <c r="J114" i="81" s="1"/>
  <c r="AN6" i="76"/>
  <c r="J130" i="81" s="1"/>
  <c r="W5" i="76"/>
  <c r="K113" i="81" s="1"/>
  <c r="AO5" i="76"/>
  <c r="K129" i="81" s="1"/>
  <c r="W76" i="76"/>
  <c r="AG76" i="76" s="1"/>
  <c r="K182" i="81" s="1"/>
  <c r="V13" i="76"/>
  <c r="J121" i="81" s="1"/>
  <c r="V84" i="76"/>
  <c r="AF84" i="76" s="1"/>
  <c r="J190" i="81" s="1"/>
  <c r="AN13" i="76"/>
  <c r="J137" i="81" s="1"/>
  <c r="V74" i="76"/>
  <c r="AF74" i="76" s="1"/>
  <c r="J180" i="81" s="1"/>
  <c r="V3" i="76"/>
  <c r="J111" i="81" s="1"/>
  <c r="AN3" i="76"/>
  <c r="J127" i="81" s="1"/>
  <c r="V83" i="76"/>
  <c r="AF83" i="76" s="1"/>
  <c r="J189" i="81" s="1"/>
  <c r="U10" i="76"/>
  <c r="I118" i="81" s="1"/>
  <c r="U81" i="76"/>
  <c r="AE81" i="76" s="1"/>
  <c r="I187" i="81" s="1"/>
  <c r="AM10" i="76"/>
  <c r="I134" i="81" s="1"/>
  <c r="T81" i="76"/>
  <c r="T10" i="76"/>
  <c r="H118" i="81" s="1"/>
  <c r="H10" i="76"/>
  <c r="AL10" i="76"/>
  <c r="H134" i="81" s="1"/>
  <c r="F10" i="76"/>
  <c r="G10" i="76"/>
  <c r="U11" i="76"/>
  <c r="I119" i="81" s="1"/>
  <c r="U82" i="76"/>
  <c r="AE82" i="76" s="1"/>
  <c r="I188" i="81" s="1"/>
  <c r="AM11" i="76"/>
  <c r="I135" i="81" s="1"/>
  <c r="U7" i="76"/>
  <c r="I115" i="81" s="1"/>
  <c r="AM7" i="76"/>
  <c r="I131" i="81" s="1"/>
  <c r="U78" i="76"/>
  <c r="H9" i="76"/>
  <c r="AD26" i="76"/>
  <c r="AD45" i="76" s="1"/>
  <c r="W11" i="76"/>
  <c r="K119" i="81" s="1"/>
  <c r="AO11" i="76"/>
  <c r="K135" i="81" s="1"/>
  <c r="W82" i="76"/>
  <c r="AG82" i="76" s="1"/>
  <c r="K188" i="81" s="1"/>
  <c r="E15" i="76"/>
  <c r="K52" i="81" s="1"/>
  <c r="V80" i="76"/>
  <c r="AF80" i="76" s="1"/>
  <c r="J186" i="81" s="1"/>
  <c r="V9" i="76"/>
  <c r="J117" i="81" s="1"/>
  <c r="AN9" i="76"/>
  <c r="J133" i="81" s="1"/>
  <c r="W8" i="76"/>
  <c r="K116" i="81" s="1"/>
  <c r="W79" i="76"/>
  <c r="AG79" i="76" s="1"/>
  <c r="K185" i="81" s="1"/>
  <c r="AO8" i="76"/>
  <c r="K132" i="81" s="1"/>
  <c r="V79" i="76"/>
  <c r="AF79" i="76" s="1"/>
  <c r="J185" i="81" s="1"/>
  <c r="V8" i="76"/>
  <c r="J116" i="81" s="1"/>
  <c r="AN8" i="76"/>
  <c r="J132" i="81" s="1"/>
  <c r="AD29" i="76"/>
  <c r="AD48" i="76" s="1"/>
  <c r="U8" i="76"/>
  <c r="I116" i="81" s="1"/>
  <c r="U79" i="76"/>
  <c r="AE79" i="76" s="1"/>
  <c r="I185" i="81" s="1"/>
  <c r="AM8" i="76"/>
  <c r="I132" i="81" s="1"/>
  <c r="T79" i="76"/>
  <c r="T8" i="76"/>
  <c r="H116" i="81" s="1"/>
  <c r="G8" i="76"/>
  <c r="AL8" i="76"/>
  <c r="H132" i="81" s="1"/>
  <c r="H8" i="76"/>
  <c r="F8" i="76"/>
  <c r="U9" i="76"/>
  <c r="I117" i="81" s="1"/>
  <c r="U80" i="76"/>
  <c r="AE80" i="76" s="1"/>
  <c r="I186" i="81" s="1"/>
  <c r="AM9" i="76"/>
  <c r="I133" i="81" s="1"/>
  <c r="H11" i="76"/>
  <c r="T11" i="76"/>
  <c r="H119" i="81" s="1"/>
  <c r="T82" i="76"/>
  <c r="F11" i="76"/>
  <c r="AL11" i="76"/>
  <c r="H135" i="81" s="1"/>
  <c r="G11" i="76"/>
  <c r="T7" i="76"/>
  <c r="H115" i="81" s="1"/>
  <c r="T78" i="76"/>
  <c r="AL7" i="76"/>
  <c r="H131" i="81" s="1"/>
  <c r="AF27" i="76"/>
  <c r="AF46" i="76" s="1"/>
  <c r="W9" i="76"/>
  <c r="K117" i="81" s="1"/>
  <c r="W80" i="76"/>
  <c r="AG80" i="76" s="1"/>
  <c r="K186" i="81" s="1"/>
  <c r="AO9" i="76"/>
  <c r="K133" i="81" s="1"/>
  <c r="V82" i="76"/>
  <c r="AF82" i="76" s="1"/>
  <c r="J188" i="81" s="1"/>
  <c r="V11" i="76"/>
  <c r="J119" i="81" s="1"/>
  <c r="AN11" i="76"/>
  <c r="J135" i="81" s="1"/>
  <c r="V7" i="76"/>
  <c r="J115" i="81" s="1"/>
  <c r="V78" i="76"/>
  <c r="AN7" i="76"/>
  <c r="J131" i="81" s="1"/>
  <c r="D15" i="76"/>
  <c r="J52" i="81" s="1"/>
  <c r="D18" i="76"/>
  <c r="W10" i="76"/>
  <c r="K118" i="81" s="1"/>
  <c r="AO10" i="76"/>
  <c r="K134" i="81" s="1"/>
  <c r="W81" i="76"/>
  <c r="AG81" i="76" s="1"/>
  <c r="K187" i="81" s="1"/>
  <c r="V81" i="76"/>
  <c r="AF81" i="76" s="1"/>
  <c r="J187" i="81" s="1"/>
  <c r="V10" i="76"/>
  <c r="J118" i="81" s="1"/>
  <c r="AN10" i="76"/>
  <c r="J134" i="81" s="1"/>
  <c r="P36" i="76"/>
  <c r="O36" i="76"/>
  <c r="Q36" i="76"/>
  <c r="Z24" i="76"/>
  <c r="Y24" i="76"/>
  <c r="X24" i="76"/>
  <c r="V36" i="76"/>
  <c r="AE22" i="76"/>
  <c r="V34" i="76"/>
  <c r="V37" i="76"/>
  <c r="AE25" i="76"/>
  <c r="AE44" i="76" s="1"/>
  <c r="AC31" i="76"/>
  <c r="Y31" i="76"/>
  <c r="Z31" i="76"/>
  <c r="X31" i="76"/>
  <c r="T37" i="76"/>
  <c r="Z25" i="76"/>
  <c r="Y25" i="76"/>
  <c r="X25" i="76"/>
  <c r="AC25" i="76"/>
  <c r="Z28" i="76"/>
  <c r="Y28" i="76"/>
  <c r="X28" i="76"/>
  <c r="U34" i="76"/>
  <c r="U36" i="76"/>
  <c r="T36" i="76"/>
  <c r="Y22" i="76"/>
  <c r="X22" i="76"/>
  <c r="AC22" i="76"/>
  <c r="T34" i="76"/>
  <c r="Z22" i="76"/>
  <c r="Z29" i="76"/>
  <c r="Y29" i="76"/>
  <c r="X29" i="76"/>
  <c r="AC29" i="76"/>
  <c r="AG58" i="76"/>
  <c r="AF58" i="76"/>
  <c r="O37" i="76"/>
  <c r="Z32" i="76"/>
  <c r="X32" i="76"/>
  <c r="Y32" i="76"/>
  <c r="Y26" i="76"/>
  <c r="X26" i="76"/>
  <c r="Z26" i="76"/>
  <c r="AF25" i="76"/>
  <c r="AF44" i="76" s="1"/>
  <c r="W37" i="76"/>
  <c r="X23" i="76"/>
  <c r="AC23" i="76"/>
  <c r="Z23" i="76"/>
  <c r="Y23" i="76"/>
  <c r="P37" i="76"/>
  <c r="Z33" i="76"/>
  <c r="X33" i="76"/>
  <c r="AC33" i="76"/>
  <c r="Y33" i="76"/>
  <c r="X27" i="76"/>
  <c r="Z27" i="76"/>
  <c r="Y27" i="76"/>
  <c r="W34" i="76"/>
  <c r="W36" i="76"/>
  <c r="AF22" i="76"/>
  <c r="Q37" i="76"/>
  <c r="X30" i="76"/>
  <c r="Z30" i="76"/>
  <c r="Y30" i="76"/>
  <c r="AC30" i="76"/>
  <c r="U37" i="76"/>
  <c r="U68" i="74"/>
  <c r="AE68" i="74" s="1"/>
  <c r="C174" i="81" s="1"/>
  <c r="G118" i="74"/>
  <c r="W3" i="74"/>
  <c r="AO3" i="74"/>
  <c r="AN3" i="74"/>
  <c r="D127" i="81" s="1"/>
  <c r="V3" i="74"/>
  <c r="D111" i="81" s="1"/>
  <c r="V74" i="74"/>
  <c r="AF74" i="74" s="1"/>
  <c r="D180" i="81" s="1"/>
  <c r="D17" i="74"/>
  <c r="V77" i="74"/>
  <c r="AF77" i="74" s="1"/>
  <c r="D183" i="81" s="1"/>
  <c r="V75" i="74"/>
  <c r="AF75" i="74" s="1"/>
  <c r="D181" i="81" s="1"/>
  <c r="V83" i="74"/>
  <c r="AF83" i="74" s="1"/>
  <c r="D189" i="81" s="1"/>
  <c r="AN6" i="74"/>
  <c r="AN12" i="74"/>
  <c r="D136" i="81" s="1"/>
  <c r="AN4" i="74"/>
  <c r="AN10" i="74"/>
  <c r="D134" i="81" s="1"/>
  <c r="V81" i="74"/>
  <c r="AF81" i="74" s="1"/>
  <c r="D187" i="81" s="1"/>
  <c r="AE29" i="74"/>
  <c r="AE48" i="74" s="1"/>
  <c r="B122" i="74"/>
  <c r="H111" i="74"/>
  <c r="T59" i="74"/>
  <c r="AD59" i="74" s="1"/>
  <c r="B165" i="81" s="1"/>
  <c r="F110" i="74"/>
  <c r="AD31" i="74"/>
  <c r="AD50" i="74" s="1"/>
  <c r="T68" i="74"/>
  <c r="AE24" i="74"/>
  <c r="AE43" i="74" s="1"/>
  <c r="H110" i="74"/>
  <c r="AD33" i="74"/>
  <c r="AD52" i="74" s="1"/>
  <c r="AE22" i="74"/>
  <c r="AE41" i="74" s="1"/>
  <c r="D117" i="74"/>
  <c r="H118" i="74"/>
  <c r="F118" i="74"/>
  <c r="D119" i="74"/>
  <c r="D68" i="81" s="1"/>
  <c r="V61" i="74"/>
  <c r="AF61" i="74" s="1"/>
  <c r="D167" i="81" s="1"/>
  <c r="AI167" i="81" s="1"/>
  <c r="C108" i="74"/>
  <c r="D109" i="74"/>
  <c r="E108" i="74"/>
  <c r="E57" i="81" s="1"/>
  <c r="G110" i="74"/>
  <c r="G111" i="74"/>
  <c r="F111" i="74"/>
  <c r="U61" i="74"/>
  <c r="AE61" i="74" s="1"/>
  <c r="C167" i="81" s="1"/>
  <c r="AD25" i="74"/>
  <c r="AD44" i="74" s="1"/>
  <c r="Y24" i="74"/>
  <c r="Z24" i="74"/>
  <c r="AI11" i="74"/>
  <c r="AG11" i="74"/>
  <c r="L70" i="74"/>
  <c r="N37" i="74"/>
  <c r="M37" i="74"/>
  <c r="V25" i="74"/>
  <c r="V34" i="74" s="1"/>
  <c r="O29" i="74"/>
  <c r="O61" i="74"/>
  <c r="P61" i="74"/>
  <c r="L37" i="74"/>
  <c r="Q25" i="74"/>
  <c r="O28" i="74"/>
  <c r="M36" i="74"/>
  <c r="V32" i="74"/>
  <c r="AE32" i="74" s="1"/>
  <c r="AE51" i="74" s="1"/>
  <c r="N34" i="74"/>
  <c r="W22" i="74"/>
  <c r="N36" i="74"/>
  <c r="O24" i="74"/>
  <c r="W61" i="74"/>
  <c r="AG61" i="74" s="1"/>
  <c r="E167" i="81" s="1"/>
  <c r="O65" i="74"/>
  <c r="O25" i="74"/>
  <c r="X24" i="74"/>
  <c r="L34" i="74"/>
  <c r="U37" i="74"/>
  <c r="M34" i="74"/>
  <c r="O36" i="74"/>
  <c r="AI3" i="74"/>
  <c r="AG3" i="74"/>
  <c r="AH3" i="74"/>
  <c r="AH9" i="74"/>
  <c r="AG9" i="74"/>
  <c r="AI9" i="74"/>
  <c r="X33" i="74"/>
  <c r="Y31" i="74"/>
  <c r="X31" i="74"/>
  <c r="Z31" i="74"/>
  <c r="T36" i="74"/>
  <c r="AE80" i="74"/>
  <c r="C186" i="81" s="1"/>
  <c r="O83" i="74"/>
  <c r="Y26" i="74"/>
  <c r="X26" i="74"/>
  <c r="Z26" i="74"/>
  <c r="AF58" i="74"/>
  <c r="D164" i="81" s="1"/>
  <c r="U36" i="74"/>
  <c r="U34" i="74"/>
  <c r="L86" i="74"/>
  <c r="O74" i="74"/>
  <c r="O76" i="74"/>
  <c r="P76" i="74"/>
  <c r="Q76" i="74"/>
  <c r="AE78" i="74"/>
  <c r="C184" i="81" s="1"/>
  <c r="AD63" i="74"/>
  <c r="B169" i="81" s="1"/>
  <c r="N86" i="74"/>
  <c r="W74" i="74"/>
  <c r="Y28" i="74"/>
  <c r="X28" i="74"/>
  <c r="Z28" i="74"/>
  <c r="T34" i="74"/>
  <c r="AD61" i="74"/>
  <c r="B167" i="81" s="1"/>
  <c r="T37" i="74"/>
  <c r="Y27" i="74"/>
  <c r="X27" i="74"/>
  <c r="Z27" i="74"/>
  <c r="Z33" i="74"/>
  <c r="Y29" i="74"/>
  <c r="X29" i="74"/>
  <c r="Z29" i="74"/>
  <c r="P74" i="74"/>
  <c r="AH12" i="74"/>
  <c r="AH5" i="74"/>
  <c r="AG5" i="74"/>
  <c r="AI5" i="74"/>
  <c r="AD15" i="74"/>
  <c r="AB87" i="44"/>
  <c r="AA87" i="44"/>
  <c r="Z87" i="44"/>
  <c r="Y87" i="44"/>
  <c r="AF15" i="74" l="1"/>
  <c r="V70" i="76"/>
  <c r="G9" i="76"/>
  <c r="AF25" i="74"/>
  <c r="AF44" i="74" s="1"/>
  <c r="E15" i="77"/>
  <c r="Q52" i="81" s="1"/>
  <c r="AO11" i="80"/>
  <c r="W135" i="81" s="1"/>
  <c r="AO3" i="80"/>
  <c r="W127" i="81" s="1"/>
  <c r="Y13" i="77"/>
  <c r="AN3" i="77"/>
  <c r="P127" i="81" s="1"/>
  <c r="AF26" i="76"/>
  <c r="AF45" i="76" s="1"/>
  <c r="H115" i="80"/>
  <c r="B123" i="80"/>
  <c r="F123" i="80" s="1"/>
  <c r="H119" i="80"/>
  <c r="T68" i="81"/>
  <c r="H6" i="77"/>
  <c r="C15" i="74"/>
  <c r="C52" i="81" s="1"/>
  <c r="B15" i="80"/>
  <c r="T52" i="81" s="1"/>
  <c r="G6" i="77"/>
  <c r="AO6" i="77"/>
  <c r="Q130" i="81" s="1"/>
  <c r="C40" i="81"/>
  <c r="V6" i="77"/>
  <c r="P114" i="81" s="1"/>
  <c r="AO6" i="74"/>
  <c r="E130" i="81" s="1"/>
  <c r="B18" i="76"/>
  <c r="E18" i="76"/>
  <c r="W7" i="76"/>
  <c r="K115" i="81" s="1"/>
  <c r="AI8" i="74"/>
  <c r="AE25" i="77"/>
  <c r="AE44" i="77" s="1"/>
  <c r="G7" i="76"/>
  <c r="G18" i="76" s="1"/>
  <c r="F7" i="76"/>
  <c r="W78" i="76"/>
  <c r="AL9" i="76"/>
  <c r="H133" i="81" s="1"/>
  <c r="T80" i="76"/>
  <c r="Y80" i="76" s="1"/>
  <c r="C17" i="74"/>
  <c r="AG8" i="74"/>
  <c r="X63" i="77"/>
  <c r="E18" i="77"/>
  <c r="D18" i="77"/>
  <c r="W11" i="80"/>
  <c r="Z5" i="77"/>
  <c r="V74" i="77"/>
  <c r="AF74" i="77" s="1"/>
  <c r="P180" i="81" s="1"/>
  <c r="W48" i="81"/>
  <c r="F117" i="80"/>
  <c r="AI172" i="81"/>
  <c r="B120" i="74"/>
  <c r="B69" i="81" s="1"/>
  <c r="AC33" i="80"/>
  <c r="AC52" i="80" s="1"/>
  <c r="Q43" i="81"/>
  <c r="V77" i="77"/>
  <c r="AF77" i="77" s="1"/>
  <c r="P183" i="81" s="1"/>
  <c r="U74" i="74"/>
  <c r="AE74" i="74" s="1"/>
  <c r="C180" i="81" s="1"/>
  <c r="E43" i="81"/>
  <c r="U82" i="74"/>
  <c r="AE82" i="74" s="1"/>
  <c r="C188" i="81" s="1"/>
  <c r="W70" i="76"/>
  <c r="AC28" i="76"/>
  <c r="AI28" i="76" s="1"/>
  <c r="H7" i="76"/>
  <c r="AO7" i="76"/>
  <c r="K131" i="81" s="1"/>
  <c r="F9" i="76"/>
  <c r="T9" i="76"/>
  <c r="H117" i="81" s="1"/>
  <c r="W37" i="74"/>
  <c r="AF25" i="77"/>
  <c r="AF44" i="77" s="1"/>
  <c r="AE22" i="77"/>
  <c r="W82" i="80"/>
  <c r="Y82" i="80" s="1"/>
  <c r="Z13" i="77"/>
  <c r="Y5" i="77"/>
  <c r="G11" i="80"/>
  <c r="F115" i="80"/>
  <c r="G119" i="80"/>
  <c r="AI170" i="81"/>
  <c r="Q37" i="74"/>
  <c r="P37" i="74"/>
  <c r="Y25" i="80"/>
  <c r="X25" i="80"/>
  <c r="Z25" i="80"/>
  <c r="Z30" i="80"/>
  <c r="Y30" i="80"/>
  <c r="X30" i="80"/>
  <c r="N12" i="74"/>
  <c r="AO12" i="74"/>
  <c r="E136" i="81" s="1"/>
  <c r="W12" i="74"/>
  <c r="E120" i="81" s="1"/>
  <c r="E49" i="81"/>
  <c r="W83" i="74"/>
  <c r="AG83" i="74" s="1"/>
  <c r="E189" i="81" s="1"/>
  <c r="Y32" i="74"/>
  <c r="O58" i="81"/>
  <c r="U59" i="77"/>
  <c r="O66" i="81"/>
  <c r="U67" i="77"/>
  <c r="V36" i="74"/>
  <c r="AN8" i="74"/>
  <c r="D132" i="81" s="1"/>
  <c r="D15" i="74"/>
  <c r="D52" i="81" s="1"/>
  <c r="H13" i="76"/>
  <c r="F5" i="76"/>
  <c r="T5" i="76"/>
  <c r="H113" i="81" s="1"/>
  <c r="AF22" i="80"/>
  <c r="AF41" i="80" s="1"/>
  <c r="D17" i="80"/>
  <c r="V3" i="80"/>
  <c r="V111" i="81" s="1"/>
  <c r="AH77" i="77"/>
  <c r="F12" i="80"/>
  <c r="AF31" i="80"/>
  <c r="AF50" i="80" s="1"/>
  <c r="D15" i="80"/>
  <c r="V52" i="81" s="1"/>
  <c r="AC32" i="76"/>
  <c r="AH32" i="76" s="1"/>
  <c r="AL13" i="76"/>
  <c r="H137" i="81" s="1"/>
  <c r="T13" i="76"/>
  <c r="H121" i="81" s="1"/>
  <c r="H5" i="76"/>
  <c r="W3" i="80"/>
  <c r="W111" i="81" s="1"/>
  <c r="F3" i="80"/>
  <c r="V74" i="80"/>
  <c r="AF74" i="80" s="1"/>
  <c r="W83" i="80"/>
  <c r="V41" i="81"/>
  <c r="N4" i="74"/>
  <c r="E41" i="81"/>
  <c r="AO4" i="74"/>
  <c r="E128" i="81" s="1"/>
  <c r="W4" i="74"/>
  <c r="E112" i="81" s="1"/>
  <c r="AE27" i="74"/>
  <c r="AE46" i="74" s="1"/>
  <c r="D18" i="74"/>
  <c r="V79" i="74"/>
  <c r="AF79" i="74" s="1"/>
  <c r="D185" i="81" s="1"/>
  <c r="G13" i="76"/>
  <c r="T84" i="76"/>
  <c r="AL5" i="76"/>
  <c r="H129" i="81" s="1"/>
  <c r="AC26" i="77"/>
  <c r="W74" i="80"/>
  <c r="AG74" i="80" s="1"/>
  <c r="W180" i="81" s="1"/>
  <c r="H3" i="80"/>
  <c r="G3" i="80"/>
  <c r="D45" i="81"/>
  <c r="W12" i="80"/>
  <c r="W120" i="81" s="1"/>
  <c r="W79" i="77"/>
  <c r="AG79" i="77" s="1"/>
  <c r="Q185" i="81" s="1"/>
  <c r="AF27" i="77"/>
  <c r="AF46" i="77" s="1"/>
  <c r="L14" i="74"/>
  <c r="AM14" i="74"/>
  <c r="C138" i="81" s="1"/>
  <c r="V42" i="81"/>
  <c r="AE24" i="80"/>
  <c r="AE43" i="80" s="1"/>
  <c r="V76" i="80"/>
  <c r="N45" i="81"/>
  <c r="AL8" i="77"/>
  <c r="G8" i="77"/>
  <c r="T79" i="77"/>
  <c r="H8" i="77"/>
  <c r="T8" i="77"/>
  <c r="N116" i="81" s="1"/>
  <c r="E47" i="81"/>
  <c r="W81" i="74"/>
  <c r="AG81" i="74" s="1"/>
  <c r="E187" i="81" s="1"/>
  <c r="AO10" i="74"/>
  <c r="E134" i="81" s="1"/>
  <c r="N10" i="74"/>
  <c r="W10" i="74"/>
  <c r="E118" i="81" s="1"/>
  <c r="P50" i="81"/>
  <c r="AE32" i="77"/>
  <c r="AE51" i="77" s="1"/>
  <c r="N122" i="81"/>
  <c r="X14" i="77"/>
  <c r="Y14" i="77"/>
  <c r="W182" i="81"/>
  <c r="D18" i="80"/>
  <c r="G7" i="80"/>
  <c r="G10" i="77"/>
  <c r="P47" i="81"/>
  <c r="V81" i="77"/>
  <c r="AF81" i="77" s="1"/>
  <c r="P187" i="81" s="1"/>
  <c r="AE29" i="77"/>
  <c r="AE48" i="77" s="1"/>
  <c r="AN10" i="77"/>
  <c r="P134" i="81" s="1"/>
  <c r="V10" i="77"/>
  <c r="P118" i="81" s="1"/>
  <c r="E15" i="74"/>
  <c r="E52" i="81" s="1"/>
  <c r="AD25" i="76"/>
  <c r="AD44" i="76" s="1"/>
  <c r="C18" i="76"/>
  <c r="AN12" i="76"/>
  <c r="J136" i="81" s="1"/>
  <c r="D17" i="76"/>
  <c r="H12" i="76"/>
  <c r="G6" i="76"/>
  <c r="AM6" i="76"/>
  <c r="I130" i="81" s="1"/>
  <c r="AC23" i="77"/>
  <c r="AC27" i="77"/>
  <c r="AI27" i="77" s="1"/>
  <c r="H8" i="80"/>
  <c r="E18" i="80"/>
  <c r="E17" i="80"/>
  <c r="G12" i="77"/>
  <c r="Y6" i="77"/>
  <c r="AF23" i="77"/>
  <c r="AF42" i="77" s="1"/>
  <c r="V84" i="77"/>
  <c r="G4" i="80"/>
  <c r="AF29" i="80"/>
  <c r="AF48" i="80" s="1"/>
  <c r="C18" i="77"/>
  <c r="H13" i="77"/>
  <c r="O47" i="81"/>
  <c r="U10" i="77"/>
  <c r="AD23" i="77"/>
  <c r="AD42" i="77" s="1"/>
  <c r="H14" i="80"/>
  <c r="F14" i="80"/>
  <c r="V14" i="80"/>
  <c r="AE33" i="80"/>
  <c r="V85" i="80"/>
  <c r="AN14" i="80"/>
  <c r="V51" i="81"/>
  <c r="G14" i="80"/>
  <c r="D15" i="77"/>
  <c r="P52" i="81" s="1"/>
  <c r="Z6" i="77"/>
  <c r="AN13" i="77"/>
  <c r="AR13" i="77" s="1"/>
  <c r="F13" i="77"/>
  <c r="U4" i="77"/>
  <c r="O112" i="81" s="1"/>
  <c r="F10" i="77"/>
  <c r="Z14" i="77"/>
  <c r="O41" i="81"/>
  <c r="V50" i="81"/>
  <c r="V84" i="80"/>
  <c r="F13" i="80"/>
  <c r="V13" i="80"/>
  <c r="G13" i="80"/>
  <c r="H13" i="80"/>
  <c r="U83" i="77"/>
  <c r="AE83" i="77" s="1"/>
  <c r="O189" i="81" s="1"/>
  <c r="O49" i="81"/>
  <c r="AM12" i="77"/>
  <c r="O136" i="81" s="1"/>
  <c r="AD31" i="77"/>
  <c r="AD50" i="77" s="1"/>
  <c r="F6" i="76"/>
  <c r="F18" i="76" s="1"/>
  <c r="U14" i="76"/>
  <c r="I122" i="81" s="1"/>
  <c r="U6" i="76"/>
  <c r="I114" i="81" s="1"/>
  <c r="E15" i="80"/>
  <c r="W52" i="81" s="1"/>
  <c r="H10" i="77"/>
  <c r="C17" i="77"/>
  <c r="D17" i="77"/>
  <c r="X77" i="77"/>
  <c r="AO10" i="80"/>
  <c r="W134" i="81" s="1"/>
  <c r="AN13" i="80"/>
  <c r="H10" i="80"/>
  <c r="E45" i="81"/>
  <c r="N8" i="74"/>
  <c r="W79" i="74"/>
  <c r="AG79" i="74" s="1"/>
  <c r="E185" i="81" s="1"/>
  <c r="AO8" i="74"/>
  <c r="E132" i="81" s="1"/>
  <c r="AF27" i="74"/>
  <c r="AF46" i="74" s="1"/>
  <c r="W8" i="74"/>
  <c r="E116" i="81" s="1"/>
  <c r="T4" i="80"/>
  <c r="B17" i="80"/>
  <c r="Y77" i="77"/>
  <c r="Z77" i="77"/>
  <c r="X6" i="77"/>
  <c r="H4" i="77"/>
  <c r="AO6" i="80"/>
  <c r="AE24" i="77"/>
  <c r="AE43" i="77" s="1"/>
  <c r="F4" i="80"/>
  <c r="N5" i="74"/>
  <c r="W5" i="74"/>
  <c r="E113" i="81" s="1"/>
  <c r="AO5" i="74"/>
  <c r="E129" i="81" s="1"/>
  <c r="E42" i="81"/>
  <c r="W76" i="74"/>
  <c r="AG76" i="74" s="1"/>
  <c r="E182" i="81" s="1"/>
  <c r="V46" i="81"/>
  <c r="V9" i="80"/>
  <c r="V117" i="81" s="1"/>
  <c r="AE28" i="80"/>
  <c r="AE47" i="80" s="1"/>
  <c r="V80" i="80"/>
  <c r="AF80" i="80" s="1"/>
  <c r="V186" i="81" s="1"/>
  <c r="N9" i="74"/>
  <c r="W80" i="74"/>
  <c r="AG80" i="74" s="1"/>
  <c r="E186" i="81" s="1"/>
  <c r="W9" i="74"/>
  <c r="E117" i="81" s="1"/>
  <c r="E46" i="81"/>
  <c r="AF28" i="74"/>
  <c r="AF47" i="74" s="1"/>
  <c r="AO9" i="74"/>
  <c r="E133" i="81" s="1"/>
  <c r="V44" i="81"/>
  <c r="F7" i="80"/>
  <c r="V78" i="80"/>
  <c r="AF78" i="80" s="1"/>
  <c r="V184" i="81" s="1"/>
  <c r="AE26" i="80"/>
  <c r="AI26" i="80" s="1"/>
  <c r="AE30" i="80"/>
  <c r="AE49" i="80" s="1"/>
  <c r="V82" i="80"/>
  <c r="AF82" i="80" s="1"/>
  <c r="V188" i="81" s="1"/>
  <c r="AN11" i="80"/>
  <c r="V135" i="81" s="1"/>
  <c r="V48" i="81"/>
  <c r="V11" i="80"/>
  <c r="V119" i="81" s="1"/>
  <c r="H11" i="80"/>
  <c r="AR12" i="77"/>
  <c r="F4" i="77"/>
  <c r="AQ6" i="77"/>
  <c r="H4" i="80"/>
  <c r="N11" i="74"/>
  <c r="E48" i="81"/>
  <c r="AO11" i="74"/>
  <c r="E135" i="81" s="1"/>
  <c r="W82" i="74"/>
  <c r="AG82" i="74" s="1"/>
  <c r="E188" i="81" s="1"/>
  <c r="W11" i="74"/>
  <c r="E119" i="81" s="1"/>
  <c r="AF24" i="74"/>
  <c r="AF43" i="74" s="1"/>
  <c r="G9" i="80"/>
  <c r="V83" i="80"/>
  <c r="AF83" i="80" s="1"/>
  <c r="V189" i="81" s="1"/>
  <c r="AE31" i="80"/>
  <c r="AE50" i="80" s="1"/>
  <c r="V12" i="80"/>
  <c r="X12" i="80" s="1"/>
  <c r="AN12" i="80"/>
  <c r="V49" i="81"/>
  <c r="AF30" i="74"/>
  <c r="AF49" i="74" s="1"/>
  <c r="W7" i="74"/>
  <c r="E115" i="81" s="1"/>
  <c r="AO7" i="74"/>
  <c r="E131" i="81" s="1"/>
  <c r="E44" i="81"/>
  <c r="E18" i="74"/>
  <c r="N7" i="74"/>
  <c r="W78" i="74"/>
  <c r="AG78" i="74" s="1"/>
  <c r="E184" i="81" s="1"/>
  <c r="T4" i="77"/>
  <c r="N112" i="81" s="1"/>
  <c r="N41" i="81"/>
  <c r="T75" i="77"/>
  <c r="AL4" i="77"/>
  <c r="AJ172" i="81"/>
  <c r="AN5" i="77"/>
  <c r="V76" i="77"/>
  <c r="Y76" i="77" s="1"/>
  <c r="P42" i="81"/>
  <c r="H5" i="77"/>
  <c r="C62" i="81"/>
  <c r="U63" i="74"/>
  <c r="G113" i="74"/>
  <c r="H113" i="74"/>
  <c r="F113" i="74"/>
  <c r="W79" i="80"/>
  <c r="AG79" i="80" s="1"/>
  <c r="W185" i="81" s="1"/>
  <c r="AO8" i="80"/>
  <c r="W132" i="81" s="1"/>
  <c r="W8" i="80"/>
  <c r="W116" i="81" s="1"/>
  <c r="W45" i="81"/>
  <c r="AF27" i="80"/>
  <c r="AF46" i="80" s="1"/>
  <c r="H67" i="81"/>
  <c r="T68" i="76"/>
  <c r="AD68" i="76" s="1"/>
  <c r="H174" i="81" s="1"/>
  <c r="M15" i="74"/>
  <c r="W43" i="81"/>
  <c r="W6" i="80"/>
  <c r="F6" i="80"/>
  <c r="G6" i="80"/>
  <c r="H6" i="80"/>
  <c r="H18" i="80" s="1"/>
  <c r="W77" i="80"/>
  <c r="W81" i="80"/>
  <c r="W47" i="81"/>
  <c r="W10" i="80"/>
  <c r="W75" i="80"/>
  <c r="AG75" i="80" s="1"/>
  <c r="W181" i="81" s="1"/>
  <c r="W41" i="81"/>
  <c r="AL9" i="77"/>
  <c r="N133" i="81" s="1"/>
  <c r="T9" i="77"/>
  <c r="N117" i="81" s="1"/>
  <c r="T80" i="77"/>
  <c r="AD80" i="77" s="1"/>
  <c r="N186" i="81" s="1"/>
  <c r="N46" i="81"/>
  <c r="H62" i="81"/>
  <c r="T63" i="76"/>
  <c r="AD63" i="76" s="1"/>
  <c r="H169" i="81" s="1"/>
  <c r="C64" i="81"/>
  <c r="AD29" i="74"/>
  <c r="AD48" i="74" s="1"/>
  <c r="O59" i="81"/>
  <c r="U60" i="77"/>
  <c r="AD24" i="77"/>
  <c r="AD43" i="77" s="1"/>
  <c r="U65" i="74"/>
  <c r="AE65" i="74" s="1"/>
  <c r="C171" i="81" s="1"/>
  <c r="O130" i="81"/>
  <c r="AP6" i="77"/>
  <c r="H14" i="76"/>
  <c r="T64" i="74"/>
  <c r="X58" i="77"/>
  <c r="Y63" i="77"/>
  <c r="AC49" i="80"/>
  <c r="Y8" i="77"/>
  <c r="F9" i="77"/>
  <c r="Z12" i="80"/>
  <c r="H9" i="77"/>
  <c r="AP12" i="77"/>
  <c r="I51" i="81"/>
  <c r="B120" i="77"/>
  <c r="G108" i="77"/>
  <c r="F110" i="77"/>
  <c r="T61" i="76"/>
  <c r="AD61" i="76" s="1"/>
  <c r="H167" i="81" s="1"/>
  <c r="H60" i="81"/>
  <c r="T62" i="81"/>
  <c r="AC8" i="80"/>
  <c r="AC27" i="80"/>
  <c r="AC46" i="80" s="1"/>
  <c r="T63" i="80"/>
  <c r="AD63" i="80" s="1"/>
  <c r="T169" i="81" s="1"/>
  <c r="F113" i="80"/>
  <c r="N68" i="81"/>
  <c r="T69" i="77"/>
  <c r="AD69" i="77" s="1"/>
  <c r="N175" i="81" s="1"/>
  <c r="H66" i="81"/>
  <c r="T67" i="76"/>
  <c r="AD67" i="76" s="1"/>
  <c r="H173" i="81" s="1"/>
  <c r="T58" i="81"/>
  <c r="T59" i="80"/>
  <c r="AD59" i="80" s="1"/>
  <c r="T165" i="81" s="1"/>
  <c r="AC4" i="80"/>
  <c r="AL4" i="80"/>
  <c r="H14" i="77"/>
  <c r="U85" i="77"/>
  <c r="AM14" i="77"/>
  <c r="O51" i="81"/>
  <c r="G14" i="77"/>
  <c r="F14" i="77"/>
  <c r="AM15" i="74"/>
  <c r="C139" i="81" s="1"/>
  <c r="C123" i="74"/>
  <c r="G14" i="76"/>
  <c r="AM14" i="76"/>
  <c r="I138" i="81" s="1"/>
  <c r="Y58" i="77"/>
  <c r="Z63" i="77"/>
  <c r="AC28" i="77"/>
  <c r="AG28" i="77" s="1"/>
  <c r="X8" i="77"/>
  <c r="G9" i="77"/>
  <c r="AD33" i="76"/>
  <c r="AD52" i="76" s="1"/>
  <c r="F108" i="77"/>
  <c r="N57" i="81"/>
  <c r="H64" i="81"/>
  <c r="T65" i="76"/>
  <c r="AD65" i="76" s="1"/>
  <c r="H171" i="81" s="1"/>
  <c r="C61" i="81"/>
  <c r="U62" i="74"/>
  <c r="H112" i="74"/>
  <c r="F112" i="74"/>
  <c r="G112" i="74"/>
  <c r="AD26" i="74"/>
  <c r="AD45" i="74" s="1"/>
  <c r="T64" i="81"/>
  <c r="T65" i="80"/>
  <c r="AC10" i="80"/>
  <c r="AC29" i="80"/>
  <c r="AL7" i="77"/>
  <c r="N131" i="81" s="1"/>
  <c r="T7" i="77"/>
  <c r="B18" i="77"/>
  <c r="F7" i="77"/>
  <c r="F18" i="77" s="1"/>
  <c r="T78" i="77"/>
  <c r="AD78" i="77" s="1"/>
  <c r="N184" i="81" s="1"/>
  <c r="G7" i="77"/>
  <c r="N44" i="81"/>
  <c r="T66" i="81"/>
  <c r="AC12" i="80"/>
  <c r="AC31" i="80"/>
  <c r="AC50" i="80" s="1"/>
  <c r="T67" i="80"/>
  <c r="AD67" i="80" s="1"/>
  <c r="T173" i="81" s="1"/>
  <c r="B64" i="81"/>
  <c r="F115" i="74"/>
  <c r="T65" i="74"/>
  <c r="G115" i="74"/>
  <c r="H115" i="74"/>
  <c r="P137" i="81"/>
  <c r="AE84" i="77"/>
  <c r="X84" i="77"/>
  <c r="AQ13" i="77"/>
  <c r="N64" i="81"/>
  <c r="T65" i="77"/>
  <c r="AD65" i="77" s="1"/>
  <c r="N171" i="81" s="1"/>
  <c r="AR6" i="77"/>
  <c r="C192" i="81"/>
  <c r="AC27" i="76"/>
  <c r="F14" i="76"/>
  <c r="U15" i="74"/>
  <c r="C123" i="81" s="1"/>
  <c r="AI166" i="81"/>
  <c r="W70" i="77"/>
  <c r="Z8" i="77"/>
  <c r="AM15" i="77"/>
  <c r="O139" i="81" s="1"/>
  <c r="Z4" i="77"/>
  <c r="C15" i="77"/>
  <c r="O52" i="81" s="1"/>
  <c r="B122" i="77"/>
  <c r="F122" i="77" s="1"/>
  <c r="G110" i="77"/>
  <c r="H68" i="81"/>
  <c r="T69" i="76"/>
  <c r="AD69" i="76" s="1"/>
  <c r="H175" i="81" s="1"/>
  <c r="T61" i="77"/>
  <c r="AD61" i="77" s="1"/>
  <c r="N167" i="81" s="1"/>
  <c r="N60" i="81"/>
  <c r="H58" i="81"/>
  <c r="T59" i="76"/>
  <c r="AD59" i="76" s="1"/>
  <c r="H165" i="81" s="1"/>
  <c r="AL11" i="77"/>
  <c r="N135" i="81" s="1"/>
  <c r="T11" i="77"/>
  <c r="Y11" i="77" s="1"/>
  <c r="N48" i="81"/>
  <c r="T82" i="77"/>
  <c r="AD82" i="77" s="1"/>
  <c r="N188" i="81" s="1"/>
  <c r="H57" i="81"/>
  <c r="T58" i="76"/>
  <c r="AD58" i="76" s="1"/>
  <c r="H164" i="81" s="1"/>
  <c r="T86" i="80"/>
  <c r="AD75" i="80"/>
  <c r="F109" i="80"/>
  <c r="T60" i="81"/>
  <c r="AC6" i="80"/>
  <c r="AC25" i="80"/>
  <c r="T61" i="80"/>
  <c r="AD61" i="80" s="1"/>
  <c r="T167" i="81" s="1"/>
  <c r="AC23" i="80"/>
  <c r="AP13" i="77"/>
  <c r="I67" i="81"/>
  <c r="F118" i="76"/>
  <c r="U68" i="76"/>
  <c r="G118" i="76"/>
  <c r="H118" i="76"/>
  <c r="AD66" i="80"/>
  <c r="T172" i="81" s="1"/>
  <c r="Y66" i="80"/>
  <c r="X66" i="80"/>
  <c r="I64" i="81"/>
  <c r="H115" i="76"/>
  <c r="G115" i="76"/>
  <c r="U65" i="76"/>
  <c r="F115" i="76"/>
  <c r="Z63" i="80"/>
  <c r="AG63" i="80"/>
  <c r="W169" i="81" s="1"/>
  <c r="AJ169" i="81" s="1"/>
  <c r="C65" i="81"/>
  <c r="U66" i="74"/>
  <c r="G116" i="74"/>
  <c r="F116" i="74"/>
  <c r="H116" i="74"/>
  <c r="I58" i="81"/>
  <c r="U59" i="76"/>
  <c r="H109" i="76"/>
  <c r="G109" i="76"/>
  <c r="F109" i="76"/>
  <c r="AG59" i="80"/>
  <c r="W165" i="81" s="1"/>
  <c r="AJ165" i="81" s="1"/>
  <c r="Z65" i="80"/>
  <c r="AG65" i="80"/>
  <c r="W171" i="81" s="1"/>
  <c r="AJ171" i="81" s="1"/>
  <c r="X65" i="80"/>
  <c r="AD30" i="74"/>
  <c r="AD49" i="74" s="1"/>
  <c r="H63" i="81"/>
  <c r="H114" i="76"/>
  <c r="F114" i="76"/>
  <c r="T64" i="76"/>
  <c r="G114" i="76"/>
  <c r="AI14" i="80"/>
  <c r="AG14" i="80"/>
  <c r="AH14" i="80"/>
  <c r="AD62" i="80"/>
  <c r="T168" i="81" s="1"/>
  <c r="Z62" i="80"/>
  <c r="Y62" i="80"/>
  <c r="X62" i="80"/>
  <c r="AI7" i="80"/>
  <c r="AG7" i="80"/>
  <c r="AH7" i="80"/>
  <c r="I60" i="81"/>
  <c r="C123" i="76"/>
  <c r="F111" i="76"/>
  <c r="U61" i="76"/>
  <c r="G111" i="76"/>
  <c r="H111" i="76"/>
  <c r="Z66" i="80"/>
  <c r="H65" i="81"/>
  <c r="F116" i="76"/>
  <c r="H116" i="76"/>
  <c r="T66" i="76"/>
  <c r="G116" i="76"/>
  <c r="O60" i="81"/>
  <c r="C123" i="77"/>
  <c r="H111" i="77"/>
  <c r="G111" i="77"/>
  <c r="F111" i="77"/>
  <c r="U61" i="77"/>
  <c r="T63" i="81"/>
  <c r="AC9" i="80"/>
  <c r="G114" i="80"/>
  <c r="AC28" i="80"/>
  <c r="H114" i="80"/>
  <c r="T64" i="80"/>
  <c r="F114" i="80"/>
  <c r="AG61" i="80"/>
  <c r="W167" i="81" s="1"/>
  <c r="AJ167" i="81" s="1"/>
  <c r="C63" i="81"/>
  <c r="U64" i="74"/>
  <c r="Y64" i="74" s="1"/>
  <c r="O64" i="81"/>
  <c r="U65" i="77"/>
  <c r="F115" i="77"/>
  <c r="H115" i="77"/>
  <c r="AD29" i="77"/>
  <c r="AD48" i="77" s="1"/>
  <c r="G115" i="77"/>
  <c r="T57" i="81"/>
  <c r="AC3" i="80"/>
  <c r="F108" i="80"/>
  <c r="B122" i="80"/>
  <c r="F122" i="80" s="1"/>
  <c r="B120" i="80"/>
  <c r="T69" i="81" s="1"/>
  <c r="T58" i="80"/>
  <c r="G108" i="80"/>
  <c r="AC22" i="80"/>
  <c r="AI22" i="80" s="1"/>
  <c r="H108" i="80"/>
  <c r="I66" i="81"/>
  <c r="G117" i="76"/>
  <c r="U67" i="76"/>
  <c r="H117" i="76"/>
  <c r="F117" i="76"/>
  <c r="N63" i="81"/>
  <c r="F114" i="77"/>
  <c r="H114" i="77"/>
  <c r="G114" i="77"/>
  <c r="T64" i="77"/>
  <c r="I68" i="81"/>
  <c r="G119" i="76"/>
  <c r="U69" i="76"/>
  <c r="H119" i="76"/>
  <c r="F119" i="76"/>
  <c r="N65" i="81"/>
  <c r="F116" i="77"/>
  <c r="G116" i="77"/>
  <c r="H116" i="77"/>
  <c r="T66" i="77"/>
  <c r="O68" i="81"/>
  <c r="G119" i="77"/>
  <c r="F119" i="77"/>
  <c r="U69" i="77"/>
  <c r="H119" i="77"/>
  <c r="AD33" i="77"/>
  <c r="AD52" i="77" s="1"/>
  <c r="AG58" i="80"/>
  <c r="W70" i="80"/>
  <c r="AG75" i="77"/>
  <c r="Z75" i="77"/>
  <c r="H59" i="81"/>
  <c r="B120" i="76"/>
  <c r="H69" i="81" s="1"/>
  <c r="G110" i="76"/>
  <c r="F110" i="76"/>
  <c r="B122" i="76"/>
  <c r="H110" i="76"/>
  <c r="T60" i="76"/>
  <c r="I59" i="81"/>
  <c r="U60" i="76"/>
  <c r="AE60" i="76" s="1"/>
  <c r="I166" i="81" s="1"/>
  <c r="H61" i="81"/>
  <c r="G112" i="76"/>
  <c r="F112" i="76"/>
  <c r="B123" i="76"/>
  <c r="H112" i="76"/>
  <c r="T62" i="76"/>
  <c r="T59" i="81"/>
  <c r="AC24" i="80"/>
  <c r="H110" i="80"/>
  <c r="AC5" i="80"/>
  <c r="F110" i="80"/>
  <c r="T60" i="80"/>
  <c r="G110" i="80"/>
  <c r="I61" i="81"/>
  <c r="U62" i="76"/>
  <c r="AE62" i="76" s="1"/>
  <c r="I168" i="81" s="1"/>
  <c r="I62" i="81"/>
  <c r="F113" i="76"/>
  <c r="H113" i="76"/>
  <c r="G113" i="76"/>
  <c r="U63" i="76"/>
  <c r="AG83" i="80"/>
  <c r="X83" i="80"/>
  <c r="I63" i="81"/>
  <c r="U64" i="76"/>
  <c r="AE64" i="76" s="1"/>
  <c r="I170" i="81" s="1"/>
  <c r="AI11" i="80"/>
  <c r="AH11" i="80"/>
  <c r="AG11" i="80"/>
  <c r="N61" i="81"/>
  <c r="G112" i="77"/>
  <c r="H112" i="77"/>
  <c r="F112" i="77"/>
  <c r="T62" i="77"/>
  <c r="B123" i="77"/>
  <c r="F123" i="77" s="1"/>
  <c r="T67" i="81"/>
  <c r="T68" i="80"/>
  <c r="AC32" i="80"/>
  <c r="H118" i="80"/>
  <c r="F118" i="80"/>
  <c r="AC13" i="80"/>
  <c r="G118" i="80"/>
  <c r="C120" i="77"/>
  <c r="AF58" i="80"/>
  <c r="V70" i="80"/>
  <c r="AG67" i="80"/>
  <c r="W173" i="81" s="1"/>
  <c r="AJ173" i="81" s="1"/>
  <c r="Y67" i="80"/>
  <c r="B63" i="81"/>
  <c r="H114" i="74"/>
  <c r="F114" i="74"/>
  <c r="B123" i="74"/>
  <c r="F123" i="74" s="1"/>
  <c r="G114" i="74"/>
  <c r="Z69" i="80"/>
  <c r="Y69" i="80"/>
  <c r="X69" i="80"/>
  <c r="AD69" i="80"/>
  <c r="T175" i="81" s="1"/>
  <c r="I65" i="81"/>
  <c r="U66" i="76"/>
  <c r="AE66" i="76" s="1"/>
  <c r="I172" i="81" s="1"/>
  <c r="I57" i="81"/>
  <c r="G108" i="76"/>
  <c r="F108" i="76"/>
  <c r="C122" i="76"/>
  <c r="U58" i="76"/>
  <c r="C120" i="76"/>
  <c r="I69" i="81" s="1"/>
  <c r="H108" i="76"/>
  <c r="L15" i="74"/>
  <c r="AD23" i="76"/>
  <c r="AD42" i="76" s="1"/>
  <c r="AD28" i="74"/>
  <c r="AD47" i="74" s="1"/>
  <c r="AG30" i="80"/>
  <c r="H109" i="74"/>
  <c r="D58" i="81"/>
  <c r="C120" i="74"/>
  <c r="C69" i="81" s="1"/>
  <c r="C57" i="81"/>
  <c r="AF70" i="76"/>
  <c r="J176" i="81" s="1"/>
  <c r="J164" i="81"/>
  <c r="O164" i="81"/>
  <c r="AF70" i="77"/>
  <c r="P176" i="81" s="1"/>
  <c r="P164" i="81"/>
  <c r="AG70" i="76"/>
  <c r="AN148" i="81" s="1"/>
  <c r="K164" i="81"/>
  <c r="AG70" i="77"/>
  <c r="AQ148" i="81" s="1"/>
  <c r="Q164" i="81"/>
  <c r="AH26" i="80"/>
  <c r="H117" i="74"/>
  <c r="D66" i="81"/>
  <c r="D195" i="81"/>
  <c r="D128" i="81"/>
  <c r="E127" i="81"/>
  <c r="B15" i="76"/>
  <c r="H52" i="81" s="1"/>
  <c r="H40" i="81"/>
  <c r="D121" i="81"/>
  <c r="AC22" i="77"/>
  <c r="AG22" i="77" s="1"/>
  <c r="N40" i="81"/>
  <c r="Y12" i="77"/>
  <c r="Q120" i="81"/>
  <c r="D130" i="81"/>
  <c r="E111" i="81"/>
  <c r="AQ12" i="77"/>
  <c r="D112" i="81"/>
  <c r="AG76" i="77"/>
  <c r="D114" i="81"/>
  <c r="Q134" i="81"/>
  <c r="AR10" i="77"/>
  <c r="AQ10" i="77"/>
  <c r="D192" i="81"/>
  <c r="AP10" i="77"/>
  <c r="Z11" i="77"/>
  <c r="P119" i="81"/>
  <c r="W117" i="81"/>
  <c r="W119" i="81"/>
  <c r="D194" i="81"/>
  <c r="W15" i="77"/>
  <c r="Q123" i="81" s="1"/>
  <c r="Q115" i="81"/>
  <c r="D119" i="81"/>
  <c r="U86" i="77"/>
  <c r="X12" i="77"/>
  <c r="Z12" i="77"/>
  <c r="AO15" i="77"/>
  <c r="Q139" i="81" s="1"/>
  <c r="AG83" i="77"/>
  <c r="Y83" i="77"/>
  <c r="T74" i="77"/>
  <c r="B17" i="77"/>
  <c r="F3" i="77"/>
  <c r="AL3" i="77"/>
  <c r="N127" i="81" s="1"/>
  <c r="G3" i="77"/>
  <c r="H3" i="77"/>
  <c r="B15" i="77"/>
  <c r="N52" i="81" s="1"/>
  <c r="AH22" i="80"/>
  <c r="AP3" i="80"/>
  <c r="AR3" i="80"/>
  <c r="AQ3" i="80"/>
  <c r="Y3" i="80"/>
  <c r="Y3" i="77"/>
  <c r="X3" i="77"/>
  <c r="Z3" i="77"/>
  <c r="AG81" i="77"/>
  <c r="AQ9" i="80"/>
  <c r="AR9" i="80"/>
  <c r="AE46" i="80"/>
  <c r="Y7" i="77"/>
  <c r="AF82" i="77"/>
  <c r="AR7" i="80"/>
  <c r="AQ7" i="80"/>
  <c r="AP7" i="80"/>
  <c r="Z9" i="80"/>
  <c r="AF79" i="80"/>
  <c r="AF80" i="77"/>
  <c r="X11" i="80"/>
  <c r="AF45" i="80"/>
  <c r="AP9" i="80"/>
  <c r="Z8" i="80"/>
  <c r="Y8" i="80"/>
  <c r="X8" i="80"/>
  <c r="AP7" i="77"/>
  <c r="AG82" i="80"/>
  <c r="Z7" i="77"/>
  <c r="AP9" i="77"/>
  <c r="X7" i="80"/>
  <c r="Y7" i="80"/>
  <c r="Z7" i="80"/>
  <c r="AG78" i="77"/>
  <c r="Q184" i="81" s="1"/>
  <c r="W86" i="77"/>
  <c r="AG80" i="80"/>
  <c r="Z80" i="80"/>
  <c r="X80" i="80"/>
  <c r="Y80" i="80"/>
  <c r="AF78" i="77"/>
  <c r="P184" i="81" s="1"/>
  <c r="Z78" i="77"/>
  <c r="X7" i="77"/>
  <c r="AG78" i="80"/>
  <c r="AF47" i="80"/>
  <c r="Y28" i="80"/>
  <c r="Y37" i="80" s="1"/>
  <c r="W37" i="80"/>
  <c r="Z28" i="80"/>
  <c r="X28" i="80"/>
  <c r="W34" i="80"/>
  <c r="Z22" i="80"/>
  <c r="Z36" i="80" s="1"/>
  <c r="V36" i="80"/>
  <c r="X22" i="80"/>
  <c r="X36" i="80" s="1"/>
  <c r="Y22" i="80"/>
  <c r="Y36" i="80" s="1"/>
  <c r="V34" i="80"/>
  <c r="AC43" i="77"/>
  <c r="Y36" i="77"/>
  <c r="AC42" i="77"/>
  <c r="AG27" i="77"/>
  <c r="Y37" i="77"/>
  <c r="Z36" i="77"/>
  <c r="AC52" i="77"/>
  <c r="Z37" i="77"/>
  <c r="AD41" i="77"/>
  <c r="AF41" i="77"/>
  <c r="AH22" i="77"/>
  <c r="AC51" i="77"/>
  <c r="AH32" i="77"/>
  <c r="AC48" i="77"/>
  <c r="AG31" i="77"/>
  <c r="AC50" i="77"/>
  <c r="AC44" i="77"/>
  <c r="AI25" i="77"/>
  <c r="AH25" i="77"/>
  <c r="AG25" i="77"/>
  <c r="AC45" i="77"/>
  <c r="AI26" i="77"/>
  <c r="AH26" i="77"/>
  <c r="AG26" i="77"/>
  <c r="X36" i="77"/>
  <c r="AI30" i="77"/>
  <c r="AH30" i="77"/>
  <c r="AC49" i="77"/>
  <c r="AG30" i="77"/>
  <c r="X37" i="77"/>
  <c r="AE41" i="77"/>
  <c r="Z60" i="74"/>
  <c r="X68" i="74"/>
  <c r="P36" i="74"/>
  <c r="Y68" i="74"/>
  <c r="Y60" i="74"/>
  <c r="AD64" i="74"/>
  <c r="B170" i="81" s="1"/>
  <c r="AD68" i="74"/>
  <c r="B174" i="81" s="1"/>
  <c r="X60" i="74"/>
  <c r="X32" i="74"/>
  <c r="V15" i="74"/>
  <c r="D123" i="81" s="1"/>
  <c r="U86" i="74"/>
  <c r="X75" i="76"/>
  <c r="Z75" i="76"/>
  <c r="AD75" i="76"/>
  <c r="H181" i="81" s="1"/>
  <c r="Y75" i="76"/>
  <c r="AQ13" i="76"/>
  <c r="AR13" i="76"/>
  <c r="AP13" i="76"/>
  <c r="Y13" i="76"/>
  <c r="AD77" i="76"/>
  <c r="H183" i="81" s="1"/>
  <c r="X77" i="76"/>
  <c r="Y77" i="76"/>
  <c r="Z77" i="76"/>
  <c r="AP5" i="76"/>
  <c r="U3" i="76"/>
  <c r="I111" i="81" s="1"/>
  <c r="C17" i="76"/>
  <c r="AM3" i="76"/>
  <c r="I127" i="81" s="1"/>
  <c r="U74" i="76"/>
  <c r="AE74" i="76" s="1"/>
  <c r="I180" i="81" s="1"/>
  <c r="AD22" i="76"/>
  <c r="AI22" i="76" s="1"/>
  <c r="C15" i="76"/>
  <c r="I52" i="81" s="1"/>
  <c r="AR4" i="76"/>
  <c r="AQ4" i="76"/>
  <c r="AP4" i="76"/>
  <c r="Z4" i="76"/>
  <c r="Y4" i="76"/>
  <c r="X4" i="76"/>
  <c r="X83" i="76"/>
  <c r="Y83" i="76"/>
  <c r="AD83" i="76"/>
  <c r="H189" i="81" s="1"/>
  <c r="Z83" i="76"/>
  <c r="X84" i="76"/>
  <c r="Z84" i="76"/>
  <c r="AD84" i="76"/>
  <c r="H190" i="81" s="1"/>
  <c r="Y84" i="76"/>
  <c r="X6" i="76"/>
  <c r="Z6" i="76"/>
  <c r="Z76" i="76"/>
  <c r="AD76" i="76"/>
  <c r="H182" i="81" s="1"/>
  <c r="Y76" i="76"/>
  <c r="X76" i="76"/>
  <c r="AQ14" i="76"/>
  <c r="Z12" i="76"/>
  <c r="Y12" i="76"/>
  <c r="X12" i="76"/>
  <c r="Y5" i="76"/>
  <c r="Y6" i="76"/>
  <c r="AF86" i="74"/>
  <c r="V15" i="76"/>
  <c r="J123" i="81" s="1"/>
  <c r="X85" i="76"/>
  <c r="AD85" i="76"/>
  <c r="H191" i="81" s="1"/>
  <c r="Z85" i="76"/>
  <c r="Y85" i="76"/>
  <c r="T3" i="76"/>
  <c r="H111" i="81" s="1"/>
  <c r="T74" i="76"/>
  <c r="AL3" i="76"/>
  <c r="H3" i="76"/>
  <c r="F3" i="76"/>
  <c r="F17" i="76" s="1"/>
  <c r="B17" i="76"/>
  <c r="G3" i="76"/>
  <c r="AP6" i="76"/>
  <c r="AP7" i="76"/>
  <c r="AR7" i="76"/>
  <c r="AQ7" i="76"/>
  <c r="AD78" i="76"/>
  <c r="H184" i="81" s="1"/>
  <c r="Z78" i="76"/>
  <c r="X78" i="76"/>
  <c r="Y78" i="76"/>
  <c r="AD79" i="76"/>
  <c r="H185" i="81" s="1"/>
  <c r="X79" i="76"/>
  <c r="Y79" i="76"/>
  <c r="Z79" i="76"/>
  <c r="AG78" i="76"/>
  <c r="W86" i="76"/>
  <c r="AR9" i="76"/>
  <c r="AP9" i="76"/>
  <c r="AQ9" i="76"/>
  <c r="AD80" i="76"/>
  <c r="H186" i="81" s="1"/>
  <c r="AR10" i="76"/>
  <c r="AP10" i="76"/>
  <c r="AQ10" i="76"/>
  <c r="AF78" i="76"/>
  <c r="V86" i="76"/>
  <c r="Z7" i="76"/>
  <c r="Y7" i="76"/>
  <c r="X7" i="76"/>
  <c r="AD82" i="76"/>
  <c r="H188" i="81" s="1"/>
  <c r="Z82" i="76"/>
  <c r="Y82" i="76"/>
  <c r="X82" i="76"/>
  <c r="AP8" i="76"/>
  <c r="AR8" i="76"/>
  <c r="AQ8" i="76"/>
  <c r="AO15" i="76"/>
  <c r="K139" i="81" s="1"/>
  <c r="Y9" i="76"/>
  <c r="Y11" i="76"/>
  <c r="Z11" i="76"/>
  <c r="X11" i="76"/>
  <c r="U15" i="76"/>
  <c r="I123" i="81" s="1"/>
  <c r="X10" i="76"/>
  <c r="Z10" i="76"/>
  <c r="Y10" i="76"/>
  <c r="AR11" i="76"/>
  <c r="AP11" i="76"/>
  <c r="AQ11" i="76"/>
  <c r="Z8" i="76"/>
  <c r="Y8" i="76"/>
  <c r="X8" i="76"/>
  <c r="W15" i="76"/>
  <c r="K123" i="81" s="1"/>
  <c r="AE78" i="76"/>
  <c r="AD81" i="76"/>
  <c r="H187" i="81" s="1"/>
  <c r="Y81" i="76"/>
  <c r="Z81" i="76"/>
  <c r="X81" i="76"/>
  <c r="Z32" i="74"/>
  <c r="O37" i="74"/>
  <c r="AF41" i="76"/>
  <c r="AF53" i="76" s="1"/>
  <c r="AF34" i="76"/>
  <c r="AG33" i="76"/>
  <c r="AC52" i="76"/>
  <c r="AI33" i="76"/>
  <c r="AH33" i="76"/>
  <c r="Z37" i="76"/>
  <c r="AH27" i="76"/>
  <c r="AG27" i="76"/>
  <c r="AC46" i="76"/>
  <c r="AI27" i="76"/>
  <c r="AH25" i="76"/>
  <c r="AC44" i="76"/>
  <c r="AG31" i="76"/>
  <c r="AI31" i="76"/>
  <c r="AH31" i="76"/>
  <c r="AC50" i="76"/>
  <c r="AC42" i="76"/>
  <c r="AI23" i="76"/>
  <c r="X36" i="76"/>
  <c r="X37" i="76"/>
  <c r="AG24" i="76"/>
  <c r="AC43" i="76"/>
  <c r="AI24" i="76"/>
  <c r="AH24" i="76"/>
  <c r="AC47" i="76"/>
  <c r="AH30" i="76"/>
  <c r="AI30" i="76"/>
  <c r="AC49" i="76"/>
  <c r="AG30" i="76"/>
  <c r="AC41" i="76"/>
  <c r="AE41" i="76"/>
  <c r="AE53" i="76" s="1"/>
  <c r="AE34" i="76"/>
  <c r="AI26" i="76"/>
  <c r="AC45" i="76"/>
  <c r="AH26" i="76"/>
  <c r="AG26" i="76"/>
  <c r="AI32" i="76"/>
  <c r="AI29" i="76"/>
  <c r="AG29" i="76"/>
  <c r="AC48" i="76"/>
  <c r="AH29" i="76"/>
  <c r="Z36" i="76"/>
  <c r="Y36" i="76"/>
  <c r="Y37" i="76"/>
  <c r="Z68" i="74"/>
  <c r="T70" i="74"/>
  <c r="V86" i="74"/>
  <c r="X61" i="74"/>
  <c r="Z61" i="74"/>
  <c r="V69" i="74"/>
  <c r="H119" i="74"/>
  <c r="G119" i="74"/>
  <c r="C122" i="74"/>
  <c r="F108" i="74"/>
  <c r="G108" i="74"/>
  <c r="H108" i="74"/>
  <c r="AD22" i="74"/>
  <c r="U58" i="74"/>
  <c r="F119" i="74"/>
  <c r="W58" i="74"/>
  <c r="E122" i="74"/>
  <c r="E120" i="74"/>
  <c r="E69" i="81" s="1"/>
  <c r="D120" i="74"/>
  <c r="D69" i="81" s="1"/>
  <c r="G109" i="74"/>
  <c r="D122" i="74"/>
  <c r="V59" i="74"/>
  <c r="AE23" i="74"/>
  <c r="F109" i="74"/>
  <c r="V67" i="74"/>
  <c r="AE31" i="74"/>
  <c r="AE50" i="74" s="1"/>
  <c r="F117" i="74"/>
  <c r="G117" i="74"/>
  <c r="AE33" i="74"/>
  <c r="Y61" i="74"/>
  <c r="AE25" i="74"/>
  <c r="Z25" i="74"/>
  <c r="Z37" i="74" s="1"/>
  <c r="Y25" i="74"/>
  <c r="Y37" i="74" s="1"/>
  <c r="V37" i="74"/>
  <c r="X25" i="74"/>
  <c r="X37" i="74" s="1"/>
  <c r="W34" i="74"/>
  <c r="X22" i="74"/>
  <c r="AF22" i="74"/>
  <c r="W36" i="74"/>
  <c r="Y22" i="74"/>
  <c r="Z22" i="74"/>
  <c r="AG74" i="74"/>
  <c r="AN15" i="74"/>
  <c r="D139" i="81" s="1"/>
  <c r="AJ91" i="44"/>
  <c r="AI91" i="44"/>
  <c r="AH91" i="44"/>
  <c r="AG91" i="44"/>
  <c r="AF91" i="44"/>
  <c r="AE91" i="44"/>
  <c r="AD91" i="44"/>
  <c r="AC91" i="44"/>
  <c r="AB91" i="44"/>
  <c r="AA91" i="44"/>
  <c r="Z91" i="44"/>
  <c r="Y91" i="44"/>
  <c r="X91" i="44"/>
  <c r="W91" i="44"/>
  <c r="V91" i="44"/>
  <c r="R91" i="44"/>
  <c r="AJ90" i="44"/>
  <c r="AI90" i="44"/>
  <c r="AH90" i="44"/>
  <c r="AG90" i="44"/>
  <c r="AF90" i="44"/>
  <c r="AE90" i="44"/>
  <c r="AD90" i="44"/>
  <c r="AC90" i="44"/>
  <c r="AB90" i="44"/>
  <c r="AA90" i="44"/>
  <c r="Z90" i="44"/>
  <c r="Y90" i="44"/>
  <c r="X90" i="44"/>
  <c r="W90" i="44"/>
  <c r="V90" i="44"/>
  <c r="R90" i="44"/>
  <c r="AJ89" i="44"/>
  <c r="AI89" i="44"/>
  <c r="AH89" i="44"/>
  <c r="AG89" i="44"/>
  <c r="AF89" i="44"/>
  <c r="AE89" i="44"/>
  <c r="AD89" i="44"/>
  <c r="AC89" i="44"/>
  <c r="AB89" i="44"/>
  <c r="AA89" i="44"/>
  <c r="Z89" i="44"/>
  <c r="Y89" i="44"/>
  <c r="X89" i="44"/>
  <c r="W89" i="44"/>
  <c r="V89" i="44"/>
  <c r="R89" i="44"/>
  <c r="AJ88" i="44"/>
  <c r="AI88" i="44"/>
  <c r="AH88" i="44"/>
  <c r="AG88" i="44"/>
  <c r="AF88" i="44"/>
  <c r="AE88" i="44"/>
  <c r="AD88" i="44"/>
  <c r="AC88" i="44"/>
  <c r="AB88" i="44"/>
  <c r="AA88" i="44"/>
  <c r="Z88" i="44"/>
  <c r="Y88" i="44"/>
  <c r="X88" i="44"/>
  <c r="W88" i="44"/>
  <c r="V88" i="44"/>
  <c r="R88" i="44"/>
  <c r="AJ87" i="44"/>
  <c r="AI87" i="44"/>
  <c r="AH87" i="44"/>
  <c r="AG87" i="44"/>
  <c r="AF87" i="44"/>
  <c r="AE87" i="44"/>
  <c r="AD87" i="44"/>
  <c r="AC87" i="44"/>
  <c r="X87" i="44"/>
  <c r="W87" i="44"/>
  <c r="V87" i="44"/>
  <c r="R87" i="44"/>
  <c r="AJ86" i="44"/>
  <c r="AI86" i="44"/>
  <c r="AH86" i="44"/>
  <c r="AG86" i="44"/>
  <c r="AF86" i="44"/>
  <c r="AE86" i="44"/>
  <c r="AD86" i="44"/>
  <c r="AC86" i="44"/>
  <c r="AB86" i="44"/>
  <c r="AA86" i="44"/>
  <c r="Z86" i="44"/>
  <c r="Y86" i="44"/>
  <c r="X86" i="44"/>
  <c r="W86" i="44"/>
  <c r="V86" i="44"/>
  <c r="R86" i="44"/>
  <c r="AJ85" i="44"/>
  <c r="AI85" i="44"/>
  <c r="AH85" i="44"/>
  <c r="AG85" i="44"/>
  <c r="AF85" i="44"/>
  <c r="AE85" i="44"/>
  <c r="AD85" i="44"/>
  <c r="AC85" i="44"/>
  <c r="AB85" i="44"/>
  <c r="AA85" i="44"/>
  <c r="Z85" i="44"/>
  <c r="Y85" i="44"/>
  <c r="X85" i="44"/>
  <c r="W85" i="44"/>
  <c r="V85" i="44"/>
  <c r="R85" i="44"/>
  <c r="AJ81" i="44"/>
  <c r="AI81" i="44"/>
  <c r="AH81" i="44"/>
  <c r="AG81" i="44"/>
  <c r="AF81" i="44"/>
  <c r="AE81" i="44"/>
  <c r="AD81" i="44"/>
  <c r="AC81" i="44"/>
  <c r="AB81" i="44"/>
  <c r="AA81" i="44"/>
  <c r="Z81" i="44"/>
  <c r="Y81" i="44"/>
  <c r="X81" i="44"/>
  <c r="W81" i="44"/>
  <c r="V81" i="44"/>
  <c r="R81" i="44"/>
  <c r="AJ80" i="44"/>
  <c r="AI80" i="44"/>
  <c r="AH80" i="44"/>
  <c r="AG80" i="44"/>
  <c r="AF80" i="44"/>
  <c r="AE80" i="44"/>
  <c r="AD80" i="44"/>
  <c r="AC80" i="44"/>
  <c r="AB80" i="44"/>
  <c r="AA80" i="44"/>
  <c r="Z80" i="44"/>
  <c r="Y80" i="44"/>
  <c r="X80" i="44"/>
  <c r="W80" i="44"/>
  <c r="V80" i="44"/>
  <c r="R80" i="44"/>
  <c r="AJ79" i="44"/>
  <c r="AI79" i="44"/>
  <c r="AH79" i="44"/>
  <c r="AG79" i="44"/>
  <c r="AF79" i="44"/>
  <c r="AE79" i="44"/>
  <c r="AD79" i="44"/>
  <c r="AC79" i="44"/>
  <c r="AB79" i="44"/>
  <c r="AA79" i="44"/>
  <c r="Z79" i="44"/>
  <c r="Y79" i="44"/>
  <c r="X79" i="44"/>
  <c r="W79" i="44"/>
  <c r="V79" i="44"/>
  <c r="R79" i="44"/>
  <c r="AJ78" i="44"/>
  <c r="AI78" i="44"/>
  <c r="AH78" i="44"/>
  <c r="AG78" i="44"/>
  <c r="AF78" i="44"/>
  <c r="AE78" i="44"/>
  <c r="AD78" i="44"/>
  <c r="AC78" i="44"/>
  <c r="AB78" i="44"/>
  <c r="AA78" i="44"/>
  <c r="Z78" i="44"/>
  <c r="Y78" i="44"/>
  <c r="X78" i="44"/>
  <c r="W78" i="44"/>
  <c r="V78" i="44"/>
  <c r="R78" i="44"/>
  <c r="AJ77" i="44"/>
  <c r="AI77" i="44"/>
  <c r="AH77" i="44"/>
  <c r="AG77" i="44"/>
  <c r="AF77" i="44"/>
  <c r="AE77" i="44"/>
  <c r="AD77" i="44"/>
  <c r="AC77" i="44"/>
  <c r="AB77" i="44"/>
  <c r="AA77" i="44"/>
  <c r="Z77" i="44"/>
  <c r="Y77" i="44"/>
  <c r="X77" i="44"/>
  <c r="W77" i="44"/>
  <c r="V77" i="44"/>
  <c r="R77" i="44"/>
  <c r="AJ76" i="44"/>
  <c r="AI76" i="44"/>
  <c r="AH76" i="44"/>
  <c r="AG76" i="44"/>
  <c r="AF76" i="44"/>
  <c r="AE76" i="44"/>
  <c r="AD76" i="44"/>
  <c r="AC76" i="44"/>
  <c r="AB76" i="44"/>
  <c r="AA76" i="44"/>
  <c r="Z76" i="44"/>
  <c r="Y76" i="44"/>
  <c r="X76" i="44"/>
  <c r="W76" i="44"/>
  <c r="V76" i="44"/>
  <c r="R76" i="44"/>
  <c r="AJ75" i="44"/>
  <c r="AI75" i="44"/>
  <c r="AH75" i="44"/>
  <c r="AG75" i="44"/>
  <c r="AF75" i="44"/>
  <c r="AE75" i="44"/>
  <c r="AD75" i="44"/>
  <c r="AC75" i="44"/>
  <c r="AB75" i="44"/>
  <c r="AA75" i="44"/>
  <c r="Z75" i="44"/>
  <c r="Y75" i="44"/>
  <c r="X75" i="44"/>
  <c r="W75" i="44"/>
  <c r="V75" i="44"/>
  <c r="R75" i="44"/>
  <c r="AJ69" i="44"/>
  <c r="AI69" i="44"/>
  <c r="AH69" i="44"/>
  <c r="AG69" i="44"/>
  <c r="AF69" i="44"/>
  <c r="AE69" i="44"/>
  <c r="AD69" i="44"/>
  <c r="AC69" i="44"/>
  <c r="AB69" i="44"/>
  <c r="AA69" i="44"/>
  <c r="Z69" i="44"/>
  <c r="Y69" i="44"/>
  <c r="X69" i="44"/>
  <c r="W69" i="44"/>
  <c r="V69" i="44"/>
  <c r="R69" i="44"/>
  <c r="AJ68" i="44"/>
  <c r="AI68" i="44"/>
  <c r="AH68" i="44"/>
  <c r="AG68" i="44"/>
  <c r="AF68" i="44"/>
  <c r="AE68" i="44"/>
  <c r="AD68" i="44"/>
  <c r="AC68" i="44"/>
  <c r="AB68" i="44"/>
  <c r="AA68" i="44"/>
  <c r="Z68" i="44"/>
  <c r="Y68" i="44"/>
  <c r="X68" i="44"/>
  <c r="W68" i="44"/>
  <c r="V68" i="44"/>
  <c r="R68" i="44"/>
  <c r="AJ67" i="44"/>
  <c r="AI67" i="44"/>
  <c r="AH67" i="44"/>
  <c r="AG67" i="44"/>
  <c r="AF67" i="44"/>
  <c r="AE67" i="44"/>
  <c r="AD67" i="44"/>
  <c r="AC67" i="44"/>
  <c r="AB67" i="44"/>
  <c r="AA67" i="44"/>
  <c r="Z67" i="44"/>
  <c r="Y67" i="44"/>
  <c r="X67" i="44"/>
  <c r="W67" i="44"/>
  <c r="V67" i="44"/>
  <c r="R67" i="44"/>
  <c r="AJ66" i="44"/>
  <c r="AI66" i="44"/>
  <c r="AH66" i="44"/>
  <c r="AG66" i="44"/>
  <c r="AF66" i="44"/>
  <c r="AE66" i="44"/>
  <c r="AD66" i="44"/>
  <c r="AC66" i="44"/>
  <c r="AB66" i="44"/>
  <c r="AA66" i="44"/>
  <c r="Z66" i="44"/>
  <c r="Y66" i="44"/>
  <c r="X66" i="44"/>
  <c r="W66" i="44"/>
  <c r="V66" i="44"/>
  <c r="R66" i="44"/>
  <c r="AJ65" i="44"/>
  <c r="AI65" i="44"/>
  <c r="AH65" i="44"/>
  <c r="AG65" i="44"/>
  <c r="AF65" i="44"/>
  <c r="AE65" i="44"/>
  <c r="AD65" i="44"/>
  <c r="AC65" i="44"/>
  <c r="AB65" i="44"/>
  <c r="AA65" i="44"/>
  <c r="Z65" i="44"/>
  <c r="Y65" i="44"/>
  <c r="X65" i="44"/>
  <c r="W65" i="44"/>
  <c r="V65" i="44"/>
  <c r="R65" i="44"/>
  <c r="AJ64" i="44"/>
  <c r="AI64" i="44"/>
  <c r="AH64" i="44"/>
  <c r="AG64" i="44"/>
  <c r="AF64" i="44"/>
  <c r="AE64" i="44"/>
  <c r="AD64" i="44"/>
  <c r="AC64" i="44"/>
  <c r="AB64" i="44"/>
  <c r="AA64" i="44"/>
  <c r="Z64" i="44"/>
  <c r="Y64" i="44"/>
  <c r="X64" i="44"/>
  <c r="W64" i="44"/>
  <c r="V64" i="44"/>
  <c r="R64" i="44"/>
  <c r="AJ63" i="44"/>
  <c r="AI63" i="44"/>
  <c r="AH63" i="44"/>
  <c r="AG63" i="44"/>
  <c r="AF63" i="44"/>
  <c r="AE63" i="44"/>
  <c r="AD63" i="44"/>
  <c r="AC63" i="44"/>
  <c r="AB63" i="44"/>
  <c r="AA63" i="44"/>
  <c r="Z63" i="44"/>
  <c r="Y63" i="44"/>
  <c r="X63" i="44"/>
  <c r="W63" i="44"/>
  <c r="V63" i="44"/>
  <c r="R63" i="44"/>
  <c r="AJ91" i="48"/>
  <c r="AI91" i="48"/>
  <c r="AH91" i="48"/>
  <c r="AG91" i="48"/>
  <c r="AF91" i="48"/>
  <c r="AE91" i="48"/>
  <c r="AD91" i="48"/>
  <c r="AC91" i="48"/>
  <c r="AB91" i="48"/>
  <c r="AA91" i="48"/>
  <c r="Z91" i="48"/>
  <c r="Y91" i="48"/>
  <c r="X91" i="48"/>
  <c r="W91" i="48"/>
  <c r="V91" i="48"/>
  <c r="R91" i="48"/>
  <c r="AJ90" i="48"/>
  <c r="AI90" i="48"/>
  <c r="AH90" i="48"/>
  <c r="AG90" i="48"/>
  <c r="AF90" i="48"/>
  <c r="AE90" i="48"/>
  <c r="AD90" i="48"/>
  <c r="AC90" i="48"/>
  <c r="AB90" i="48"/>
  <c r="AA90" i="48"/>
  <c r="Z90" i="48"/>
  <c r="Y90" i="48"/>
  <c r="X90" i="48"/>
  <c r="W90" i="48"/>
  <c r="V90" i="48"/>
  <c r="R90" i="48"/>
  <c r="AJ89" i="48"/>
  <c r="AI89" i="48"/>
  <c r="AH89" i="48"/>
  <c r="AG89" i="48"/>
  <c r="AF89" i="48"/>
  <c r="AE89" i="48"/>
  <c r="AD89" i="48"/>
  <c r="AC89" i="48"/>
  <c r="AB89" i="48"/>
  <c r="AA89" i="48"/>
  <c r="Z89" i="48"/>
  <c r="Y89" i="48"/>
  <c r="X89" i="48"/>
  <c r="W89" i="48"/>
  <c r="V89" i="48"/>
  <c r="R89" i="48"/>
  <c r="AJ88" i="48"/>
  <c r="AI88" i="48"/>
  <c r="AH88" i="48"/>
  <c r="AG88" i="48"/>
  <c r="AF88" i="48"/>
  <c r="AE88" i="48"/>
  <c r="AD88" i="48"/>
  <c r="AC88" i="48"/>
  <c r="AB88" i="48"/>
  <c r="AA88" i="48"/>
  <c r="Z88" i="48"/>
  <c r="Y88" i="48"/>
  <c r="X88" i="48"/>
  <c r="W88" i="48"/>
  <c r="V88" i="48"/>
  <c r="R88" i="48"/>
  <c r="AJ87" i="48"/>
  <c r="AI87" i="48"/>
  <c r="AH87" i="48"/>
  <c r="AG87" i="48"/>
  <c r="AF87" i="48"/>
  <c r="AE87" i="48"/>
  <c r="AD87" i="48"/>
  <c r="AC87" i="48"/>
  <c r="AB87" i="48"/>
  <c r="AA87" i="48"/>
  <c r="Z87" i="48"/>
  <c r="Y87" i="48"/>
  <c r="X87" i="48"/>
  <c r="W87" i="48"/>
  <c r="V87" i="48"/>
  <c r="R87" i="48"/>
  <c r="AJ86" i="48"/>
  <c r="AI86" i="48"/>
  <c r="AH86" i="48"/>
  <c r="AG86" i="48"/>
  <c r="AF86" i="48"/>
  <c r="AE86" i="48"/>
  <c r="AD86" i="48"/>
  <c r="AC86" i="48"/>
  <c r="AB86" i="48"/>
  <c r="AA86" i="48"/>
  <c r="Z86" i="48"/>
  <c r="Y86" i="48"/>
  <c r="X86" i="48"/>
  <c r="W86" i="48"/>
  <c r="V86" i="48"/>
  <c r="R86" i="48"/>
  <c r="AJ85" i="48"/>
  <c r="AI85" i="48"/>
  <c r="AH85" i="48"/>
  <c r="AG85" i="48"/>
  <c r="AF85" i="48"/>
  <c r="AE85" i="48"/>
  <c r="AD85" i="48"/>
  <c r="AC85" i="48"/>
  <c r="AB85" i="48"/>
  <c r="AA85" i="48"/>
  <c r="Z85" i="48"/>
  <c r="Y85" i="48"/>
  <c r="X85" i="48"/>
  <c r="W85" i="48"/>
  <c r="V85" i="48"/>
  <c r="R85" i="48"/>
  <c r="AJ81" i="48"/>
  <c r="AI81" i="48"/>
  <c r="AH81" i="48"/>
  <c r="AG81" i="48"/>
  <c r="AF81" i="48"/>
  <c r="AE81" i="48"/>
  <c r="AD81" i="48"/>
  <c r="AC81" i="48"/>
  <c r="AB81" i="48"/>
  <c r="AA81" i="48"/>
  <c r="Z81" i="48"/>
  <c r="Y81" i="48"/>
  <c r="X81" i="48"/>
  <c r="W81" i="48"/>
  <c r="V81" i="48"/>
  <c r="R81" i="48"/>
  <c r="AJ80" i="48"/>
  <c r="AI80" i="48"/>
  <c r="AH80" i="48"/>
  <c r="AG80" i="48"/>
  <c r="AF80" i="48"/>
  <c r="AE80" i="48"/>
  <c r="AD80" i="48"/>
  <c r="AC80" i="48"/>
  <c r="AB80" i="48"/>
  <c r="AA80" i="48"/>
  <c r="Z80" i="48"/>
  <c r="Y80" i="48"/>
  <c r="X80" i="48"/>
  <c r="W80" i="48"/>
  <c r="V80" i="48"/>
  <c r="R80" i="48"/>
  <c r="AJ79" i="48"/>
  <c r="AI79" i="48"/>
  <c r="AH79" i="48"/>
  <c r="AG79" i="48"/>
  <c r="AF79" i="48"/>
  <c r="AE79" i="48"/>
  <c r="AD79" i="48"/>
  <c r="AC79" i="48"/>
  <c r="AB79" i="48"/>
  <c r="AA79" i="48"/>
  <c r="Z79" i="48"/>
  <c r="Y79" i="48"/>
  <c r="X79" i="48"/>
  <c r="W79" i="48"/>
  <c r="V79" i="48"/>
  <c r="R79" i="48"/>
  <c r="AJ78" i="48"/>
  <c r="AI78" i="48"/>
  <c r="AH78" i="48"/>
  <c r="AG78" i="48"/>
  <c r="AF78" i="48"/>
  <c r="AE78" i="48"/>
  <c r="AD78" i="48"/>
  <c r="AC78" i="48"/>
  <c r="AB78" i="48"/>
  <c r="AA78" i="48"/>
  <c r="Z78" i="48"/>
  <c r="Y78" i="48"/>
  <c r="X78" i="48"/>
  <c r="W78" i="48"/>
  <c r="V78" i="48"/>
  <c r="R78" i="48"/>
  <c r="AJ77" i="48"/>
  <c r="AI77" i="48"/>
  <c r="AH77" i="48"/>
  <c r="AG77" i="48"/>
  <c r="AF77" i="48"/>
  <c r="AE77" i="48"/>
  <c r="AD77" i="48"/>
  <c r="AC77" i="48"/>
  <c r="AB77" i="48"/>
  <c r="AA77" i="48"/>
  <c r="Z77" i="48"/>
  <c r="Y77" i="48"/>
  <c r="X77" i="48"/>
  <c r="W77" i="48"/>
  <c r="V77" i="48"/>
  <c r="R77" i="48"/>
  <c r="AJ76" i="48"/>
  <c r="AI76" i="48"/>
  <c r="AH76" i="48"/>
  <c r="AG76" i="48"/>
  <c r="AF76" i="48"/>
  <c r="AE76" i="48"/>
  <c r="AD76" i="48"/>
  <c r="AC76" i="48"/>
  <c r="AB76" i="48"/>
  <c r="AA76" i="48"/>
  <c r="Z76" i="48"/>
  <c r="Y76" i="48"/>
  <c r="X76" i="48"/>
  <c r="W76" i="48"/>
  <c r="V76" i="48"/>
  <c r="R76" i="48"/>
  <c r="AJ75" i="48"/>
  <c r="AI75" i="48"/>
  <c r="AH75" i="48"/>
  <c r="AG75" i="48"/>
  <c r="AF75" i="48"/>
  <c r="AE75" i="48"/>
  <c r="AD75" i="48"/>
  <c r="AC75" i="48"/>
  <c r="AB75" i="48"/>
  <c r="AA75" i="48"/>
  <c r="Z75" i="48"/>
  <c r="Y75" i="48"/>
  <c r="X75" i="48"/>
  <c r="W75" i="48"/>
  <c r="V75" i="48"/>
  <c r="R75" i="48"/>
  <c r="AJ69" i="48"/>
  <c r="AI69" i="48"/>
  <c r="AH69" i="48"/>
  <c r="AG69" i="48"/>
  <c r="AF69" i="48"/>
  <c r="AE69" i="48"/>
  <c r="AD69" i="48"/>
  <c r="AC69" i="48"/>
  <c r="AB69" i="48"/>
  <c r="AA69" i="48"/>
  <c r="Z69" i="48"/>
  <c r="Y69" i="48"/>
  <c r="X69" i="48"/>
  <c r="W69" i="48"/>
  <c r="V69" i="48"/>
  <c r="R69" i="48"/>
  <c r="AJ68" i="48"/>
  <c r="AI68" i="48"/>
  <c r="AH68" i="48"/>
  <c r="AG68" i="48"/>
  <c r="AF68" i="48"/>
  <c r="AE68" i="48"/>
  <c r="AD68" i="48"/>
  <c r="AC68" i="48"/>
  <c r="AB68" i="48"/>
  <c r="AA68" i="48"/>
  <c r="Z68" i="48"/>
  <c r="Y68" i="48"/>
  <c r="X68" i="48"/>
  <c r="W68" i="48"/>
  <c r="V68" i="48"/>
  <c r="R68" i="48"/>
  <c r="AJ67" i="48"/>
  <c r="AI67" i="48"/>
  <c r="AH67" i="48"/>
  <c r="AG67" i="48"/>
  <c r="AF67" i="48"/>
  <c r="AE67" i="48"/>
  <c r="AD67" i="48"/>
  <c r="AC67" i="48"/>
  <c r="AB67" i="48"/>
  <c r="AA67" i="48"/>
  <c r="Z67" i="48"/>
  <c r="Y67" i="48"/>
  <c r="X67" i="48"/>
  <c r="W67" i="48"/>
  <c r="V67" i="48"/>
  <c r="R67" i="48"/>
  <c r="AJ66" i="48"/>
  <c r="AI66" i="48"/>
  <c r="AH66" i="48"/>
  <c r="AG66" i="48"/>
  <c r="AF66" i="48"/>
  <c r="AE66" i="48"/>
  <c r="AD66" i="48"/>
  <c r="AC66" i="48"/>
  <c r="AB66" i="48"/>
  <c r="AA66" i="48"/>
  <c r="Z66" i="48"/>
  <c r="Y66" i="48"/>
  <c r="X66" i="48"/>
  <c r="W66" i="48"/>
  <c r="V66" i="48"/>
  <c r="R66" i="48"/>
  <c r="AJ65" i="48"/>
  <c r="AI65" i="48"/>
  <c r="AH65" i="48"/>
  <c r="AG65" i="48"/>
  <c r="AF65" i="48"/>
  <c r="AE65" i="48"/>
  <c r="AD65" i="48"/>
  <c r="AC65" i="48"/>
  <c r="AB65" i="48"/>
  <c r="AA65" i="48"/>
  <c r="Z65" i="48"/>
  <c r="Y65" i="48"/>
  <c r="X65" i="48"/>
  <c r="W65" i="48"/>
  <c r="V65" i="48"/>
  <c r="R65" i="48"/>
  <c r="AJ64" i="48"/>
  <c r="AI64" i="48"/>
  <c r="AH64" i="48"/>
  <c r="AG64" i="48"/>
  <c r="AF64" i="48"/>
  <c r="AE64" i="48"/>
  <c r="AD64" i="48"/>
  <c r="AC64" i="48"/>
  <c r="AB64" i="48"/>
  <c r="AA64" i="48"/>
  <c r="Z64" i="48"/>
  <c r="Y64" i="48"/>
  <c r="X64" i="48"/>
  <c r="W64" i="48"/>
  <c r="V64" i="48"/>
  <c r="R64" i="48"/>
  <c r="AJ63" i="48"/>
  <c r="AI63" i="48"/>
  <c r="AH63" i="48"/>
  <c r="AG63" i="48"/>
  <c r="AF63" i="48"/>
  <c r="AE63" i="48"/>
  <c r="AD63" i="48"/>
  <c r="AC63" i="48"/>
  <c r="AB63" i="48"/>
  <c r="AA63" i="48"/>
  <c r="Z63" i="48"/>
  <c r="Y63" i="48"/>
  <c r="X63" i="48"/>
  <c r="W63" i="48"/>
  <c r="V63" i="48"/>
  <c r="R63" i="48"/>
  <c r="AJ59" i="48"/>
  <c r="AI59" i="48"/>
  <c r="AH59" i="48"/>
  <c r="AG59" i="48"/>
  <c r="AF59" i="48"/>
  <c r="AE59" i="48"/>
  <c r="AD59" i="48"/>
  <c r="AC59" i="48"/>
  <c r="AB59" i="48"/>
  <c r="AA59" i="48"/>
  <c r="Z59" i="48"/>
  <c r="Y59" i="48"/>
  <c r="X59" i="48"/>
  <c r="W59" i="48"/>
  <c r="V59" i="48"/>
  <c r="R59" i="48"/>
  <c r="AJ58" i="48"/>
  <c r="AI58" i="48"/>
  <c r="AH58" i="48"/>
  <c r="AG58" i="48"/>
  <c r="AF58" i="48"/>
  <c r="AE58" i="48"/>
  <c r="AD58" i="48"/>
  <c r="AC58" i="48"/>
  <c r="AB58" i="48"/>
  <c r="AA58" i="48"/>
  <c r="Z58" i="48"/>
  <c r="Y58" i="48"/>
  <c r="X58" i="48"/>
  <c r="W58" i="48"/>
  <c r="V58" i="48"/>
  <c r="R58" i="48"/>
  <c r="AJ57" i="48"/>
  <c r="AI57" i="48"/>
  <c r="AH57" i="48"/>
  <c r="AG57" i="48"/>
  <c r="AF57" i="48"/>
  <c r="AE57" i="48"/>
  <c r="AD57" i="48"/>
  <c r="AC57" i="48"/>
  <c r="AB57" i="48"/>
  <c r="AA57" i="48"/>
  <c r="Z57" i="48"/>
  <c r="Y57" i="48"/>
  <c r="X57" i="48"/>
  <c r="W57" i="48"/>
  <c r="V57" i="48"/>
  <c r="R57" i="48"/>
  <c r="AJ56" i="48"/>
  <c r="AI56" i="48"/>
  <c r="AH56" i="48"/>
  <c r="AG56" i="48"/>
  <c r="AF56" i="48"/>
  <c r="AE56" i="48"/>
  <c r="AD56" i="48"/>
  <c r="AC56" i="48"/>
  <c r="AB56" i="48"/>
  <c r="AA56" i="48"/>
  <c r="Z56" i="48"/>
  <c r="Y56" i="48"/>
  <c r="X56" i="48"/>
  <c r="W56" i="48"/>
  <c r="V56" i="48"/>
  <c r="R56" i="48"/>
  <c r="AJ55" i="48"/>
  <c r="AI55" i="48"/>
  <c r="AH55" i="48"/>
  <c r="AG55" i="48"/>
  <c r="AF55" i="48"/>
  <c r="AE55" i="48"/>
  <c r="AD55" i="48"/>
  <c r="AC55" i="48"/>
  <c r="AB55" i="48"/>
  <c r="AA55" i="48"/>
  <c r="Z55" i="48"/>
  <c r="Y55" i="48"/>
  <c r="X55" i="48"/>
  <c r="W55" i="48"/>
  <c r="V55" i="48"/>
  <c r="R55" i="48"/>
  <c r="AJ54" i="48"/>
  <c r="AI54" i="48"/>
  <c r="AH54" i="48"/>
  <c r="AG54" i="48"/>
  <c r="AF54" i="48"/>
  <c r="AE54" i="48"/>
  <c r="AD54" i="48"/>
  <c r="AC54" i="48"/>
  <c r="AB54" i="48"/>
  <c r="AA54" i="48"/>
  <c r="Z54" i="48"/>
  <c r="Y54" i="48"/>
  <c r="X54" i="48"/>
  <c r="W54" i="48"/>
  <c r="V54" i="48"/>
  <c r="R54" i="48"/>
  <c r="AJ53" i="48"/>
  <c r="AI53" i="48"/>
  <c r="AH53" i="48"/>
  <c r="AG53" i="48"/>
  <c r="AF53" i="48"/>
  <c r="AE53" i="48"/>
  <c r="AD53" i="48"/>
  <c r="AC53" i="48"/>
  <c r="AB53" i="48"/>
  <c r="AA53" i="48"/>
  <c r="Z53" i="48"/>
  <c r="Y53" i="48"/>
  <c r="X53" i="48"/>
  <c r="W53" i="48"/>
  <c r="V53" i="48"/>
  <c r="R53" i="48"/>
  <c r="AJ91" i="45"/>
  <c r="AI91" i="45"/>
  <c r="AH91" i="45"/>
  <c r="AG91" i="45"/>
  <c r="AF91" i="45"/>
  <c r="AE91" i="45"/>
  <c r="AD91" i="45"/>
  <c r="AC91" i="45"/>
  <c r="AB91" i="45"/>
  <c r="AA91" i="45"/>
  <c r="Z91" i="45"/>
  <c r="Y91" i="45"/>
  <c r="X91" i="45"/>
  <c r="W91" i="45"/>
  <c r="V91" i="45"/>
  <c r="R91" i="45"/>
  <c r="AJ90" i="45"/>
  <c r="AI90" i="45"/>
  <c r="AH90" i="45"/>
  <c r="AG90" i="45"/>
  <c r="AF90" i="45"/>
  <c r="AE90" i="45"/>
  <c r="AD90" i="45"/>
  <c r="AC90" i="45"/>
  <c r="AB90" i="45"/>
  <c r="AA90" i="45"/>
  <c r="Z90" i="45"/>
  <c r="Y90" i="45"/>
  <c r="X90" i="45"/>
  <c r="W90" i="45"/>
  <c r="V90" i="45"/>
  <c r="R90" i="45"/>
  <c r="AJ89" i="45"/>
  <c r="AI89" i="45"/>
  <c r="AH89" i="45"/>
  <c r="AG89" i="45"/>
  <c r="AF89" i="45"/>
  <c r="AE89" i="45"/>
  <c r="AD89" i="45"/>
  <c r="AC89" i="45"/>
  <c r="AB89" i="45"/>
  <c r="AA89" i="45"/>
  <c r="Z89" i="45"/>
  <c r="Y89" i="45"/>
  <c r="X89" i="45"/>
  <c r="W89" i="45"/>
  <c r="V89" i="45"/>
  <c r="R89" i="45"/>
  <c r="AJ88" i="45"/>
  <c r="AI88" i="45"/>
  <c r="AH88" i="45"/>
  <c r="AG88" i="45"/>
  <c r="AF88" i="45"/>
  <c r="AE88" i="45"/>
  <c r="AD88" i="45"/>
  <c r="AC88" i="45"/>
  <c r="AB88" i="45"/>
  <c r="AA88" i="45"/>
  <c r="Z88" i="45"/>
  <c r="Y88" i="45"/>
  <c r="X88" i="45"/>
  <c r="W88" i="45"/>
  <c r="V88" i="45"/>
  <c r="R88" i="45"/>
  <c r="AJ87" i="45"/>
  <c r="AI87" i="45"/>
  <c r="AH87" i="45"/>
  <c r="AG87" i="45"/>
  <c r="AF87" i="45"/>
  <c r="AE87" i="45"/>
  <c r="AD87" i="45"/>
  <c r="AC87" i="45"/>
  <c r="AB87" i="45"/>
  <c r="AA87" i="45"/>
  <c r="Z87" i="45"/>
  <c r="Y87" i="45"/>
  <c r="X87" i="45"/>
  <c r="W87" i="45"/>
  <c r="V87" i="45"/>
  <c r="R87" i="45"/>
  <c r="AJ86" i="45"/>
  <c r="AI86" i="45"/>
  <c r="AH86" i="45"/>
  <c r="AG86" i="45"/>
  <c r="AF86" i="45"/>
  <c r="AE86" i="45"/>
  <c r="AD86" i="45"/>
  <c r="AC86" i="45"/>
  <c r="AB86" i="45"/>
  <c r="AA86" i="45"/>
  <c r="Z86" i="45"/>
  <c r="Y86" i="45"/>
  <c r="X86" i="45"/>
  <c r="W86" i="45"/>
  <c r="V86" i="45"/>
  <c r="R86" i="45"/>
  <c r="AJ85" i="45"/>
  <c r="AI85" i="45"/>
  <c r="AH85" i="45"/>
  <c r="AG85" i="45"/>
  <c r="AF85" i="45"/>
  <c r="AE85" i="45"/>
  <c r="AD85" i="45"/>
  <c r="AC85" i="45"/>
  <c r="AB85" i="45"/>
  <c r="AA85" i="45"/>
  <c r="Z85" i="45"/>
  <c r="Y85" i="45"/>
  <c r="X85" i="45"/>
  <c r="W85" i="45"/>
  <c r="V85" i="45"/>
  <c r="R85" i="45"/>
  <c r="AJ81" i="45"/>
  <c r="AI81" i="45"/>
  <c r="AH81" i="45"/>
  <c r="AG81" i="45"/>
  <c r="AF81" i="45"/>
  <c r="AE81" i="45"/>
  <c r="AD81" i="45"/>
  <c r="AC81" i="45"/>
  <c r="AB81" i="45"/>
  <c r="AA81" i="45"/>
  <c r="Z81" i="45"/>
  <c r="Y81" i="45"/>
  <c r="X81" i="45"/>
  <c r="W81" i="45"/>
  <c r="V81" i="45"/>
  <c r="R81" i="45"/>
  <c r="AJ80" i="45"/>
  <c r="AI80" i="45"/>
  <c r="AH80" i="45"/>
  <c r="AG80" i="45"/>
  <c r="AF80" i="45"/>
  <c r="AE80" i="45"/>
  <c r="AD80" i="45"/>
  <c r="AC80" i="45"/>
  <c r="AB80" i="45"/>
  <c r="AA80" i="45"/>
  <c r="Z80" i="45"/>
  <c r="Y80" i="45"/>
  <c r="X80" i="45"/>
  <c r="W80" i="45"/>
  <c r="V80" i="45"/>
  <c r="R80" i="45"/>
  <c r="AJ79" i="45"/>
  <c r="AI79" i="45"/>
  <c r="AH79" i="45"/>
  <c r="AG79" i="45"/>
  <c r="AF79" i="45"/>
  <c r="AE79" i="45"/>
  <c r="AD79" i="45"/>
  <c r="AC79" i="45"/>
  <c r="AB79" i="45"/>
  <c r="AA79" i="45"/>
  <c r="Z79" i="45"/>
  <c r="Y79" i="45"/>
  <c r="X79" i="45"/>
  <c r="W79" i="45"/>
  <c r="V79" i="45"/>
  <c r="R79" i="45"/>
  <c r="AJ78" i="45"/>
  <c r="AI78" i="45"/>
  <c r="AH78" i="45"/>
  <c r="AG78" i="45"/>
  <c r="AF78" i="45"/>
  <c r="AE78" i="45"/>
  <c r="AD78" i="45"/>
  <c r="AC78" i="45"/>
  <c r="AB78" i="45"/>
  <c r="AA78" i="45"/>
  <c r="Z78" i="45"/>
  <c r="Y78" i="45"/>
  <c r="X78" i="45"/>
  <c r="W78" i="45"/>
  <c r="V78" i="45"/>
  <c r="R78" i="45"/>
  <c r="AJ77" i="45"/>
  <c r="AI77" i="45"/>
  <c r="AH77" i="45"/>
  <c r="AG77" i="45"/>
  <c r="AF77" i="45"/>
  <c r="AE77" i="45"/>
  <c r="AD77" i="45"/>
  <c r="AC77" i="45"/>
  <c r="AB77" i="45"/>
  <c r="AA77" i="45"/>
  <c r="Z77" i="45"/>
  <c r="Y77" i="45"/>
  <c r="X77" i="45"/>
  <c r="W77" i="45"/>
  <c r="V77" i="45"/>
  <c r="R77" i="45"/>
  <c r="AJ76" i="45"/>
  <c r="AI76" i="45"/>
  <c r="AH76" i="45"/>
  <c r="AG76" i="45"/>
  <c r="AF76" i="45"/>
  <c r="AE76" i="45"/>
  <c r="AD76" i="45"/>
  <c r="AC76" i="45"/>
  <c r="AB76" i="45"/>
  <c r="AA76" i="45"/>
  <c r="Z76" i="45"/>
  <c r="Y76" i="45"/>
  <c r="X76" i="45"/>
  <c r="W76" i="45"/>
  <c r="V76" i="45"/>
  <c r="R76" i="45"/>
  <c r="AJ75" i="45"/>
  <c r="AI75" i="45"/>
  <c r="AH75" i="45"/>
  <c r="AG75" i="45"/>
  <c r="AF75" i="45"/>
  <c r="AE75" i="45"/>
  <c r="AD75" i="45"/>
  <c r="AC75" i="45"/>
  <c r="AB75" i="45"/>
  <c r="AA75" i="45"/>
  <c r="Z75" i="45"/>
  <c r="Y75" i="45"/>
  <c r="X75" i="45"/>
  <c r="W75" i="45"/>
  <c r="V75" i="45"/>
  <c r="R75" i="45"/>
  <c r="AJ69" i="45"/>
  <c r="AI69" i="45"/>
  <c r="AH69" i="45"/>
  <c r="AG69" i="45"/>
  <c r="AF69" i="45"/>
  <c r="AE69" i="45"/>
  <c r="AD69" i="45"/>
  <c r="AC69" i="45"/>
  <c r="AB69" i="45"/>
  <c r="AA69" i="45"/>
  <c r="Z69" i="45"/>
  <c r="Y69" i="45"/>
  <c r="X69" i="45"/>
  <c r="W69" i="45"/>
  <c r="V69" i="45"/>
  <c r="R69" i="45"/>
  <c r="AJ68" i="45"/>
  <c r="AI68" i="45"/>
  <c r="AH68" i="45"/>
  <c r="AG68" i="45"/>
  <c r="AF68" i="45"/>
  <c r="AE68" i="45"/>
  <c r="AD68" i="45"/>
  <c r="AC68" i="45"/>
  <c r="AB68" i="45"/>
  <c r="AA68" i="45"/>
  <c r="Z68" i="45"/>
  <c r="Y68" i="45"/>
  <c r="X68" i="45"/>
  <c r="W68" i="45"/>
  <c r="V68" i="45"/>
  <c r="R68" i="45"/>
  <c r="AJ67" i="45"/>
  <c r="AI67" i="45"/>
  <c r="AH67" i="45"/>
  <c r="AG67" i="45"/>
  <c r="AF67" i="45"/>
  <c r="AE67" i="45"/>
  <c r="AD67" i="45"/>
  <c r="AC67" i="45"/>
  <c r="AB67" i="45"/>
  <c r="AA67" i="45"/>
  <c r="Z67" i="45"/>
  <c r="Y67" i="45"/>
  <c r="X67" i="45"/>
  <c r="W67" i="45"/>
  <c r="V67" i="45"/>
  <c r="R67" i="45"/>
  <c r="AJ66" i="45"/>
  <c r="AI66" i="45"/>
  <c r="AH66" i="45"/>
  <c r="AG66" i="45"/>
  <c r="AF66" i="45"/>
  <c r="AE66" i="45"/>
  <c r="AD66" i="45"/>
  <c r="AC66" i="45"/>
  <c r="AB66" i="45"/>
  <c r="AA66" i="45"/>
  <c r="Z66" i="45"/>
  <c r="Y66" i="45"/>
  <c r="X66" i="45"/>
  <c r="W66" i="45"/>
  <c r="V66" i="45"/>
  <c r="R66" i="45"/>
  <c r="AJ65" i="45"/>
  <c r="AI65" i="45"/>
  <c r="AH65" i="45"/>
  <c r="AG65" i="45"/>
  <c r="AF65" i="45"/>
  <c r="AE65" i="45"/>
  <c r="AD65" i="45"/>
  <c r="AC65" i="45"/>
  <c r="AB65" i="45"/>
  <c r="AA65" i="45"/>
  <c r="Z65" i="45"/>
  <c r="Y65" i="45"/>
  <c r="X65" i="45"/>
  <c r="W65" i="45"/>
  <c r="V65" i="45"/>
  <c r="R65" i="45"/>
  <c r="AJ64" i="45"/>
  <c r="AI64" i="45"/>
  <c r="AH64" i="45"/>
  <c r="AG64" i="45"/>
  <c r="AF64" i="45"/>
  <c r="AE64" i="45"/>
  <c r="AD64" i="45"/>
  <c r="AC64" i="45"/>
  <c r="AB64" i="45"/>
  <c r="AA64" i="45"/>
  <c r="Z64" i="45"/>
  <c r="Y64" i="45"/>
  <c r="X64" i="45"/>
  <c r="W64" i="45"/>
  <c r="V64" i="45"/>
  <c r="R64" i="45"/>
  <c r="AJ63" i="45"/>
  <c r="AI63" i="45"/>
  <c r="AH63" i="45"/>
  <c r="AG63" i="45"/>
  <c r="AF63" i="45"/>
  <c r="AE63" i="45"/>
  <c r="AD63" i="45"/>
  <c r="AC63" i="45"/>
  <c r="AB63" i="45"/>
  <c r="AA63" i="45"/>
  <c r="Z63" i="45"/>
  <c r="Y63" i="45"/>
  <c r="X63" i="45"/>
  <c r="W63" i="45"/>
  <c r="V63" i="45"/>
  <c r="R63" i="45"/>
  <c r="AJ59" i="45"/>
  <c r="AI59" i="45"/>
  <c r="AH59" i="45"/>
  <c r="AG59" i="45"/>
  <c r="AF59" i="45"/>
  <c r="AE59" i="45"/>
  <c r="AD59" i="45"/>
  <c r="AC59" i="45"/>
  <c r="AB59" i="45"/>
  <c r="AA59" i="45"/>
  <c r="Z59" i="45"/>
  <c r="Y59" i="45"/>
  <c r="X59" i="45"/>
  <c r="W59" i="45"/>
  <c r="V59" i="45"/>
  <c r="R59" i="45"/>
  <c r="AJ58" i="45"/>
  <c r="AI58" i="45"/>
  <c r="AH58" i="45"/>
  <c r="AG58" i="45"/>
  <c r="AF58" i="45"/>
  <c r="AE58" i="45"/>
  <c r="AD58" i="45"/>
  <c r="AC58" i="45"/>
  <c r="AB58" i="45"/>
  <c r="AA58" i="45"/>
  <c r="Z58" i="45"/>
  <c r="Y58" i="45"/>
  <c r="X58" i="45"/>
  <c r="W58" i="45"/>
  <c r="V58" i="45"/>
  <c r="R58" i="45"/>
  <c r="AJ57" i="45"/>
  <c r="AI57" i="45"/>
  <c r="AH57" i="45"/>
  <c r="AG57" i="45"/>
  <c r="AF57" i="45"/>
  <c r="AE57" i="45"/>
  <c r="AD57" i="45"/>
  <c r="AC57" i="45"/>
  <c r="AB57" i="45"/>
  <c r="AA57" i="45"/>
  <c r="Z57" i="45"/>
  <c r="Y57" i="45"/>
  <c r="X57" i="45"/>
  <c r="W57" i="45"/>
  <c r="V57" i="45"/>
  <c r="R57" i="45"/>
  <c r="AJ56" i="45"/>
  <c r="AI56" i="45"/>
  <c r="AH56" i="45"/>
  <c r="AG56" i="45"/>
  <c r="AF56" i="45"/>
  <c r="AE56" i="45"/>
  <c r="AD56" i="45"/>
  <c r="AC56" i="45"/>
  <c r="AB56" i="45"/>
  <c r="AA56" i="45"/>
  <c r="Z56" i="45"/>
  <c r="Y56" i="45"/>
  <c r="X56" i="45"/>
  <c r="W56" i="45"/>
  <c r="V56" i="45"/>
  <c r="R56" i="45"/>
  <c r="AJ55" i="45"/>
  <c r="AI55" i="45"/>
  <c r="AH55" i="45"/>
  <c r="AG55" i="45"/>
  <c r="AF55" i="45"/>
  <c r="AE55" i="45"/>
  <c r="AD55" i="45"/>
  <c r="AC55" i="45"/>
  <c r="AB55" i="45"/>
  <c r="AA55" i="45"/>
  <c r="Z55" i="45"/>
  <c r="Y55" i="45"/>
  <c r="X55" i="45"/>
  <c r="W55" i="45"/>
  <c r="V55" i="45"/>
  <c r="R55" i="45"/>
  <c r="AJ54" i="45"/>
  <c r="AI54" i="45"/>
  <c r="AH54" i="45"/>
  <c r="AG54" i="45"/>
  <c r="AF54" i="45"/>
  <c r="AE54" i="45"/>
  <c r="AD54" i="45"/>
  <c r="AC54" i="45"/>
  <c r="AB54" i="45"/>
  <c r="AA54" i="45"/>
  <c r="Z54" i="45"/>
  <c r="Y54" i="45"/>
  <c r="X54" i="45"/>
  <c r="W54" i="45"/>
  <c r="V54" i="45"/>
  <c r="R54" i="45"/>
  <c r="AJ53" i="45"/>
  <c r="AI53" i="45"/>
  <c r="AH53" i="45"/>
  <c r="AG53" i="45"/>
  <c r="AF53" i="45"/>
  <c r="AE53" i="45"/>
  <c r="AD53" i="45"/>
  <c r="AC53" i="45"/>
  <c r="AB53" i="45"/>
  <c r="AA53" i="45"/>
  <c r="Z53" i="45"/>
  <c r="Y53" i="45"/>
  <c r="X53" i="45"/>
  <c r="W53" i="45"/>
  <c r="V53" i="45"/>
  <c r="R53" i="45"/>
  <c r="AJ59" i="44"/>
  <c r="AI59" i="44"/>
  <c r="AH59" i="44"/>
  <c r="AG59" i="44"/>
  <c r="AF59" i="44"/>
  <c r="AE59" i="44"/>
  <c r="AD59" i="44"/>
  <c r="AC59" i="44"/>
  <c r="AB59" i="44"/>
  <c r="AA59" i="44"/>
  <c r="Z59" i="44"/>
  <c r="Y59" i="44"/>
  <c r="X59" i="44"/>
  <c r="W59" i="44"/>
  <c r="V59" i="44"/>
  <c r="R59" i="44"/>
  <c r="AJ58" i="44"/>
  <c r="AI58" i="44"/>
  <c r="AH58" i="44"/>
  <c r="AG58" i="44"/>
  <c r="AF58" i="44"/>
  <c r="AE58" i="44"/>
  <c r="AD58" i="44"/>
  <c r="AC58" i="44"/>
  <c r="AB58" i="44"/>
  <c r="AA58" i="44"/>
  <c r="Z58" i="44"/>
  <c r="Y58" i="44"/>
  <c r="X58" i="44"/>
  <c r="W58" i="44"/>
  <c r="V58" i="44"/>
  <c r="R58" i="44"/>
  <c r="AJ57" i="44"/>
  <c r="AI57" i="44"/>
  <c r="AH57" i="44"/>
  <c r="AG57" i="44"/>
  <c r="AF57" i="44"/>
  <c r="AE57" i="44"/>
  <c r="AD57" i="44"/>
  <c r="AC57" i="44"/>
  <c r="AB57" i="44"/>
  <c r="AA57" i="44"/>
  <c r="Z57" i="44"/>
  <c r="Y57" i="44"/>
  <c r="X57" i="44"/>
  <c r="W57" i="44"/>
  <c r="V57" i="44"/>
  <c r="R57" i="44"/>
  <c r="AJ56" i="44"/>
  <c r="AI56" i="44"/>
  <c r="AH56" i="44"/>
  <c r="AG56" i="44"/>
  <c r="AF56" i="44"/>
  <c r="AE56" i="44"/>
  <c r="AD56" i="44"/>
  <c r="AC56" i="44"/>
  <c r="AB56" i="44"/>
  <c r="AA56" i="44"/>
  <c r="Z56" i="44"/>
  <c r="Y56" i="44"/>
  <c r="X56" i="44"/>
  <c r="W56" i="44"/>
  <c r="V56" i="44"/>
  <c r="R56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W55" i="44"/>
  <c r="V55" i="44"/>
  <c r="R55" i="44"/>
  <c r="AJ54" i="44"/>
  <c r="AI54" i="44"/>
  <c r="AH54" i="44"/>
  <c r="AG54" i="44"/>
  <c r="AF54" i="44"/>
  <c r="AE54" i="44"/>
  <c r="AD54" i="44"/>
  <c r="AC54" i="44"/>
  <c r="AB54" i="44"/>
  <c r="AA54" i="44"/>
  <c r="Z54" i="44"/>
  <c r="Y54" i="44"/>
  <c r="X54" i="44"/>
  <c r="W54" i="44"/>
  <c r="V54" i="44"/>
  <c r="R54" i="44"/>
  <c r="AJ53" i="44"/>
  <c r="AI53" i="44"/>
  <c r="AH53" i="44"/>
  <c r="AG53" i="44"/>
  <c r="AF53" i="44"/>
  <c r="AE53" i="44"/>
  <c r="AD53" i="44"/>
  <c r="AC53" i="44"/>
  <c r="AB53" i="44"/>
  <c r="AA53" i="44"/>
  <c r="Z53" i="44"/>
  <c r="Y53" i="44"/>
  <c r="X53" i="44"/>
  <c r="W53" i="44"/>
  <c r="V53" i="44"/>
  <c r="R53" i="44"/>
  <c r="AG28" i="76" l="1"/>
  <c r="AI25" i="76"/>
  <c r="X80" i="76"/>
  <c r="AR5" i="76"/>
  <c r="AH31" i="77"/>
  <c r="AH27" i="77"/>
  <c r="Z37" i="80"/>
  <c r="W86" i="80"/>
  <c r="AQ9" i="77"/>
  <c r="AP11" i="80"/>
  <c r="X74" i="80"/>
  <c r="F123" i="76"/>
  <c r="X59" i="80"/>
  <c r="H17" i="80"/>
  <c r="AH28" i="76"/>
  <c r="AG25" i="76"/>
  <c r="Z9" i="76"/>
  <c r="Z80" i="76"/>
  <c r="X13" i="76"/>
  <c r="AI31" i="77"/>
  <c r="AG29" i="77"/>
  <c r="AC46" i="77"/>
  <c r="AN15" i="80"/>
  <c r="V139" i="81" s="1"/>
  <c r="AG31" i="80"/>
  <c r="Y36" i="74"/>
  <c r="AE86" i="74"/>
  <c r="X9" i="76"/>
  <c r="T86" i="76"/>
  <c r="AQ5" i="76"/>
  <c r="Z13" i="76"/>
  <c r="AH29" i="77"/>
  <c r="AI33" i="77"/>
  <c r="AR9" i="77"/>
  <c r="AG165" i="81"/>
  <c r="H18" i="77"/>
  <c r="AG169" i="81"/>
  <c r="AE59" i="77"/>
  <c r="O165" i="81" s="1"/>
  <c r="Z59" i="77"/>
  <c r="Y59" i="77"/>
  <c r="X59" i="77"/>
  <c r="AC51" i="76"/>
  <c r="Z5" i="76"/>
  <c r="AP12" i="76"/>
  <c r="AE53" i="77"/>
  <c r="AI32" i="77"/>
  <c r="AF53" i="77"/>
  <c r="AI27" i="80"/>
  <c r="AG22" i="80"/>
  <c r="Y11" i="80"/>
  <c r="Y63" i="80"/>
  <c r="AH30" i="80"/>
  <c r="G18" i="80"/>
  <c r="W86" i="74"/>
  <c r="AG32" i="76"/>
  <c r="AC34" i="76"/>
  <c r="AG33" i="77"/>
  <c r="AR11" i="77"/>
  <c r="X79" i="80"/>
  <c r="Z11" i="80"/>
  <c r="V15" i="77"/>
  <c r="P123" i="81" s="1"/>
  <c r="Z74" i="80"/>
  <c r="Z3" i="80"/>
  <c r="X67" i="80"/>
  <c r="Y61" i="80"/>
  <c r="Y59" i="80"/>
  <c r="X63" i="80"/>
  <c r="AE67" i="77"/>
  <c r="O173" i="81" s="1"/>
  <c r="X67" i="77"/>
  <c r="Z67" i="77"/>
  <c r="Y67" i="77"/>
  <c r="AQ6" i="76"/>
  <c r="X5" i="76"/>
  <c r="AI29" i="77"/>
  <c r="AG32" i="77"/>
  <c r="AH33" i="77"/>
  <c r="X37" i="80"/>
  <c r="Z9" i="77"/>
  <c r="Y74" i="80"/>
  <c r="X3" i="80"/>
  <c r="Z76" i="77"/>
  <c r="Z67" i="80"/>
  <c r="Z59" i="80"/>
  <c r="AI30" i="80"/>
  <c r="G17" i="80"/>
  <c r="AH23" i="77"/>
  <c r="W15" i="80"/>
  <c r="W123" i="81" s="1"/>
  <c r="AF76" i="80"/>
  <c r="X76" i="80"/>
  <c r="Z76" i="80"/>
  <c r="Y76" i="80"/>
  <c r="Z79" i="77"/>
  <c r="Y79" i="77"/>
  <c r="AD79" i="77"/>
  <c r="X79" i="77"/>
  <c r="AR14" i="76"/>
  <c r="Y14" i="76"/>
  <c r="AI22" i="77"/>
  <c r="V86" i="77"/>
  <c r="Y80" i="77"/>
  <c r="AP8" i="80"/>
  <c r="F17" i="77"/>
  <c r="AO15" i="74"/>
  <c r="E139" i="81" s="1"/>
  <c r="X75" i="80"/>
  <c r="X4" i="77"/>
  <c r="AG23" i="76"/>
  <c r="AR6" i="76"/>
  <c r="AR12" i="76"/>
  <c r="X14" i="76"/>
  <c r="AC41" i="77"/>
  <c r="AG23" i="77"/>
  <c r="AH28" i="77"/>
  <c r="AP11" i="77"/>
  <c r="Y9" i="77"/>
  <c r="X78" i="77"/>
  <c r="Z82" i="80"/>
  <c r="AN15" i="77"/>
  <c r="P139" i="81" s="1"/>
  <c r="V15" i="80"/>
  <c r="V123" i="81" s="1"/>
  <c r="Y79" i="80"/>
  <c r="AR8" i="80"/>
  <c r="AG27" i="80"/>
  <c r="Y9" i="80"/>
  <c r="X81" i="77"/>
  <c r="Z83" i="77"/>
  <c r="X9" i="80"/>
  <c r="Z78" i="80"/>
  <c r="Y83" i="80"/>
  <c r="AH31" i="80"/>
  <c r="Z75" i="80"/>
  <c r="AP10" i="80"/>
  <c r="N15" i="74"/>
  <c r="Y84" i="80"/>
  <c r="Z84" i="80"/>
  <c r="X84" i="80"/>
  <c r="AF84" i="80"/>
  <c r="AR14" i="80"/>
  <c r="AQ14" i="80"/>
  <c r="AP14" i="80"/>
  <c r="V138" i="81"/>
  <c r="N132" i="81"/>
  <c r="AP8" i="77"/>
  <c r="AR8" i="77"/>
  <c r="AQ8" i="77"/>
  <c r="V121" i="81"/>
  <c r="X13" i="80"/>
  <c r="Y13" i="80"/>
  <c r="Z13" i="80"/>
  <c r="AE52" i="80"/>
  <c r="AH33" i="80"/>
  <c r="AI33" i="80"/>
  <c r="AG33" i="80"/>
  <c r="AQ10" i="80"/>
  <c r="AI23" i="77"/>
  <c r="AQ7" i="77"/>
  <c r="V86" i="80"/>
  <c r="AR11" i="80"/>
  <c r="AQ11" i="80"/>
  <c r="Y81" i="77"/>
  <c r="X78" i="80"/>
  <c r="Y4" i="77"/>
  <c r="V122" i="81"/>
  <c r="Y14" i="80"/>
  <c r="X14" i="80"/>
  <c r="Z14" i="80"/>
  <c r="O118" i="81"/>
  <c r="Z10" i="77"/>
  <c r="X10" i="77"/>
  <c r="Y10" i="77"/>
  <c r="AH23" i="76"/>
  <c r="AN15" i="76"/>
  <c r="J139" i="81" s="1"/>
  <c r="AP14" i="76"/>
  <c r="Z14" i="76"/>
  <c r="AQ12" i="76"/>
  <c r="AE34" i="77"/>
  <c r="AF34" i="77"/>
  <c r="AI24" i="77"/>
  <c r="AQ11" i="77"/>
  <c r="X9" i="77"/>
  <c r="Y78" i="77"/>
  <c r="X82" i="80"/>
  <c r="AR7" i="77"/>
  <c r="AF34" i="80"/>
  <c r="Z79" i="80"/>
  <c r="AQ8" i="80"/>
  <c r="AH27" i="80"/>
  <c r="Z81" i="77"/>
  <c r="W15" i="74"/>
  <c r="E123" i="81" s="1"/>
  <c r="Z83" i="80"/>
  <c r="AI31" i="80"/>
  <c r="Y75" i="80"/>
  <c r="AR10" i="80"/>
  <c r="U15" i="77"/>
  <c r="O123" i="81" s="1"/>
  <c r="F18" i="80"/>
  <c r="Y78" i="80"/>
  <c r="F17" i="80"/>
  <c r="T112" i="81"/>
  <c r="Z4" i="80"/>
  <c r="X4" i="80"/>
  <c r="T15" i="80"/>
  <c r="T123" i="81" s="1"/>
  <c r="Y4" i="80"/>
  <c r="V137" i="81"/>
  <c r="AQ13" i="80"/>
  <c r="AP13" i="80"/>
  <c r="AR13" i="80"/>
  <c r="AF85" i="80"/>
  <c r="Z85" i="80"/>
  <c r="Y85" i="80"/>
  <c r="X85" i="80"/>
  <c r="AF84" i="77"/>
  <c r="P190" i="81" s="1"/>
  <c r="Y84" i="77"/>
  <c r="Z84" i="77"/>
  <c r="X83" i="77"/>
  <c r="AR4" i="77"/>
  <c r="AP4" i="77"/>
  <c r="AQ4" i="77"/>
  <c r="N128" i="81"/>
  <c r="AD75" i="77"/>
  <c r="N181" i="81" s="1"/>
  <c r="Y75" i="77"/>
  <c r="X75" i="77"/>
  <c r="V136" i="81"/>
  <c r="AR12" i="80"/>
  <c r="AQ12" i="80"/>
  <c r="AR6" i="80"/>
  <c r="AP6" i="80"/>
  <c r="W130" i="81"/>
  <c r="AQ6" i="80"/>
  <c r="V120" i="81"/>
  <c r="Y12" i="80"/>
  <c r="AE45" i="80"/>
  <c r="AG26" i="80"/>
  <c r="AP12" i="80"/>
  <c r="AG167" i="81"/>
  <c r="P129" i="81"/>
  <c r="AQ5" i="77"/>
  <c r="AR5" i="77"/>
  <c r="AP5" i="77"/>
  <c r="W118" i="81"/>
  <c r="X10" i="80"/>
  <c r="Z10" i="80"/>
  <c r="Y10" i="80"/>
  <c r="Y77" i="80"/>
  <c r="AG77" i="80"/>
  <c r="X77" i="80"/>
  <c r="Z77" i="80"/>
  <c r="W114" i="81"/>
  <c r="X6" i="80"/>
  <c r="Z6" i="80"/>
  <c r="Y6" i="80"/>
  <c r="AG175" i="81"/>
  <c r="AG81" i="80"/>
  <c r="Z81" i="80"/>
  <c r="X81" i="80"/>
  <c r="Y81" i="80"/>
  <c r="AE63" i="74"/>
  <c r="C169" i="81" s="1"/>
  <c r="Z63" i="74"/>
  <c r="Y63" i="74"/>
  <c r="X63" i="74"/>
  <c r="AF76" i="77"/>
  <c r="P182" i="81" s="1"/>
  <c r="X76" i="77"/>
  <c r="AC48" i="80"/>
  <c r="AH29" i="80"/>
  <c r="AI29" i="80"/>
  <c r="AG29" i="80"/>
  <c r="T15" i="76"/>
  <c r="H123" i="81" s="1"/>
  <c r="AM15" i="76"/>
  <c r="I139" i="81" s="1"/>
  <c r="AC34" i="77"/>
  <c r="AD34" i="77"/>
  <c r="AI28" i="77"/>
  <c r="AG24" i="77"/>
  <c r="Z80" i="77"/>
  <c r="Z82" i="77"/>
  <c r="H17" i="77"/>
  <c r="X61" i="80"/>
  <c r="AC44" i="80"/>
  <c r="AG25" i="80"/>
  <c r="AI25" i="80"/>
  <c r="AH25" i="80"/>
  <c r="O190" i="81"/>
  <c r="AI10" i="80"/>
  <c r="AG10" i="80"/>
  <c r="AH10" i="80"/>
  <c r="AR4" i="80"/>
  <c r="AL15" i="80"/>
  <c r="T139" i="81" s="1"/>
  <c r="AQ4" i="80"/>
  <c r="T128" i="81"/>
  <c r="AP4" i="80"/>
  <c r="AG173" i="81"/>
  <c r="AE60" i="77"/>
  <c r="O166" i="81" s="1"/>
  <c r="AH166" i="81" s="1"/>
  <c r="Z60" i="77"/>
  <c r="Y60" i="77"/>
  <c r="X60" i="77"/>
  <c r="AD34" i="74"/>
  <c r="G17" i="76"/>
  <c r="AD53" i="77"/>
  <c r="AC47" i="77"/>
  <c r="X82" i="77"/>
  <c r="G17" i="77"/>
  <c r="Z61" i="80"/>
  <c r="AG6" i="80"/>
  <c r="AH6" i="80"/>
  <c r="AI6" i="80"/>
  <c r="T181" i="81"/>
  <c r="T192" i="81" s="1"/>
  <c r="AH75" i="80"/>
  <c r="AD86" i="80"/>
  <c r="N119" i="81"/>
  <c r="X11" i="77"/>
  <c r="X65" i="74"/>
  <c r="Z65" i="74"/>
  <c r="Y65" i="74"/>
  <c r="AD65" i="74"/>
  <c r="B171" i="81" s="1"/>
  <c r="N115" i="81"/>
  <c r="T15" i="77"/>
  <c r="N123" i="81" s="1"/>
  <c r="AD65" i="80"/>
  <c r="T171" i="81" s="1"/>
  <c r="Y65" i="80"/>
  <c r="O138" i="81"/>
  <c r="AP14" i="77"/>
  <c r="AQ14" i="77"/>
  <c r="AR14" i="77"/>
  <c r="AG4" i="80"/>
  <c r="AI4" i="80"/>
  <c r="AH4" i="80"/>
  <c r="AE62" i="74"/>
  <c r="C168" i="81" s="1"/>
  <c r="AH168" i="81" s="1"/>
  <c r="Y62" i="74"/>
  <c r="Z62" i="74"/>
  <c r="X62" i="74"/>
  <c r="AI8" i="80"/>
  <c r="AH8" i="80"/>
  <c r="AG8" i="80"/>
  <c r="AH24" i="77"/>
  <c r="X80" i="77"/>
  <c r="Y82" i="77"/>
  <c r="AC42" i="80"/>
  <c r="AG23" i="80"/>
  <c r="AI23" i="80"/>
  <c r="AH23" i="80"/>
  <c r="AI12" i="80"/>
  <c r="AG12" i="80"/>
  <c r="AH12" i="80"/>
  <c r="G18" i="77"/>
  <c r="AE85" i="77"/>
  <c r="Z85" i="77"/>
  <c r="Y85" i="77"/>
  <c r="X85" i="77"/>
  <c r="AF70" i="80"/>
  <c r="V176" i="81" s="1"/>
  <c r="V164" i="81"/>
  <c r="AI164" i="81" s="1"/>
  <c r="AI5" i="80"/>
  <c r="AH5" i="80"/>
  <c r="AG5" i="80"/>
  <c r="Y62" i="76"/>
  <c r="X62" i="76"/>
  <c r="Z62" i="76"/>
  <c r="AD62" i="76"/>
  <c r="H168" i="81" s="1"/>
  <c r="X60" i="76"/>
  <c r="Z60" i="76"/>
  <c r="T70" i="76"/>
  <c r="Y60" i="76"/>
  <c r="AD60" i="76"/>
  <c r="AE69" i="77"/>
  <c r="O175" i="81" s="1"/>
  <c r="Z69" i="77"/>
  <c r="Y69" i="77"/>
  <c r="X69" i="77"/>
  <c r="AD66" i="77"/>
  <c r="N172" i="81" s="1"/>
  <c r="Z66" i="77"/>
  <c r="Y66" i="77"/>
  <c r="X66" i="77"/>
  <c r="AE64" i="74"/>
  <c r="C170" i="81" s="1"/>
  <c r="AH170" i="81" s="1"/>
  <c r="Z64" i="74"/>
  <c r="X64" i="74"/>
  <c r="Z64" i="76"/>
  <c r="AD64" i="76"/>
  <c r="H170" i="81" s="1"/>
  <c r="Y64" i="76"/>
  <c r="X64" i="76"/>
  <c r="AE66" i="74"/>
  <c r="C172" i="81" s="1"/>
  <c r="AH172" i="81" s="1"/>
  <c r="Z66" i="74"/>
  <c r="Y66" i="74"/>
  <c r="X66" i="74"/>
  <c r="AE68" i="76"/>
  <c r="I174" i="81" s="1"/>
  <c r="AH174" i="81" s="1"/>
  <c r="Y68" i="76"/>
  <c r="X68" i="76"/>
  <c r="Z68" i="76"/>
  <c r="W189" i="81"/>
  <c r="AH83" i="80"/>
  <c r="W164" i="81"/>
  <c r="AG70" i="80"/>
  <c r="AO148" i="81" s="1"/>
  <c r="AE67" i="76"/>
  <c r="I173" i="81" s="1"/>
  <c r="AH173" i="81" s="1"/>
  <c r="Y67" i="76"/>
  <c r="Z67" i="76"/>
  <c r="X67" i="76"/>
  <c r="AC41" i="80"/>
  <c r="AC34" i="80"/>
  <c r="AE65" i="77"/>
  <c r="O171" i="81" s="1"/>
  <c r="Z65" i="77"/>
  <c r="Y65" i="77"/>
  <c r="X65" i="77"/>
  <c r="Z64" i="80"/>
  <c r="AD64" i="80"/>
  <c r="T170" i="81" s="1"/>
  <c r="X64" i="80"/>
  <c r="Y64" i="80"/>
  <c r="AG9" i="80"/>
  <c r="AH9" i="80"/>
  <c r="AI9" i="80"/>
  <c r="AE61" i="76"/>
  <c r="I167" i="81" s="1"/>
  <c r="Y61" i="76"/>
  <c r="Z61" i="76"/>
  <c r="X61" i="76"/>
  <c r="AI32" i="80"/>
  <c r="AH32" i="80"/>
  <c r="AG32" i="80"/>
  <c r="AC51" i="80"/>
  <c r="AD62" i="77"/>
  <c r="T70" i="77"/>
  <c r="Z62" i="77"/>
  <c r="Y62" i="77"/>
  <c r="X62" i="77"/>
  <c r="AE63" i="76"/>
  <c r="I169" i="81" s="1"/>
  <c r="AH169" i="81" s="1"/>
  <c r="Z63" i="76"/>
  <c r="X63" i="76"/>
  <c r="Y63" i="76"/>
  <c r="X60" i="80"/>
  <c r="Z60" i="80"/>
  <c r="AD60" i="80"/>
  <c r="T166" i="81" s="1"/>
  <c r="Y60" i="80"/>
  <c r="AC43" i="80"/>
  <c r="AH24" i="80"/>
  <c r="AI24" i="80"/>
  <c r="AG24" i="80"/>
  <c r="F122" i="76"/>
  <c r="Z64" i="77"/>
  <c r="Y64" i="77"/>
  <c r="X64" i="77"/>
  <c r="AD64" i="77"/>
  <c r="N170" i="81" s="1"/>
  <c r="AD66" i="76"/>
  <c r="H172" i="81" s="1"/>
  <c r="AG172" i="81" s="1"/>
  <c r="Y66" i="76"/>
  <c r="X66" i="76"/>
  <c r="Z66" i="76"/>
  <c r="Z58" i="76"/>
  <c r="U70" i="76"/>
  <c r="Y58" i="76"/>
  <c r="X58" i="76"/>
  <c r="AE58" i="76"/>
  <c r="AG13" i="80"/>
  <c r="AH13" i="80"/>
  <c r="AI13" i="80"/>
  <c r="AD68" i="80"/>
  <c r="T174" i="81" s="1"/>
  <c r="AG174" i="81" s="1"/>
  <c r="X68" i="80"/>
  <c r="Y68" i="80"/>
  <c r="Z68" i="80"/>
  <c r="Q181" i="81"/>
  <c r="AH75" i="77"/>
  <c r="AE69" i="76"/>
  <c r="I175" i="81" s="1"/>
  <c r="AH175" i="81" s="1"/>
  <c r="Z69" i="76"/>
  <c r="X69" i="76"/>
  <c r="Y69" i="76"/>
  <c r="Y58" i="80"/>
  <c r="T70" i="80"/>
  <c r="Z58" i="80"/>
  <c r="AD58" i="80"/>
  <c r="X58" i="80"/>
  <c r="AH3" i="80"/>
  <c r="AI3" i="80"/>
  <c r="AC15" i="80"/>
  <c r="AG3" i="80"/>
  <c r="AC47" i="80"/>
  <c r="AH28" i="80"/>
  <c r="AI28" i="80"/>
  <c r="AE61" i="77"/>
  <c r="Z61" i="77"/>
  <c r="U70" i="77"/>
  <c r="Y61" i="77"/>
  <c r="X61" i="77"/>
  <c r="AE59" i="76"/>
  <c r="I165" i="81" s="1"/>
  <c r="AH165" i="81" s="1"/>
  <c r="Z59" i="76"/>
  <c r="X59" i="76"/>
  <c r="Y59" i="76"/>
  <c r="AE65" i="76"/>
  <c r="I171" i="81" s="1"/>
  <c r="AH171" i="81" s="1"/>
  <c r="Z65" i="76"/>
  <c r="X65" i="76"/>
  <c r="Y65" i="76"/>
  <c r="AG28" i="80"/>
  <c r="AF53" i="80"/>
  <c r="Q182" i="81"/>
  <c r="AG86" i="74"/>
  <c r="E180" i="81"/>
  <c r="AH74" i="80"/>
  <c r="V180" i="81"/>
  <c r="AR3" i="76"/>
  <c r="H127" i="81"/>
  <c r="AH83" i="77"/>
  <c r="Q189" i="81"/>
  <c r="AH80" i="80"/>
  <c r="W186" i="81"/>
  <c r="AH82" i="77"/>
  <c r="P188" i="81"/>
  <c r="AF86" i="76"/>
  <c r="J184" i="81"/>
  <c r="AE86" i="76"/>
  <c r="I184" i="81"/>
  <c r="I192" i="81" s="1"/>
  <c r="AG86" i="76"/>
  <c r="K184" i="81"/>
  <c r="AH82" i="80"/>
  <c r="W188" i="81"/>
  <c r="AH80" i="77"/>
  <c r="P186" i="81"/>
  <c r="W184" i="81"/>
  <c r="AH79" i="80"/>
  <c r="V185" i="81"/>
  <c r="AH81" i="77"/>
  <c r="Q187" i="81"/>
  <c r="U86" i="76"/>
  <c r="AQ3" i="77"/>
  <c r="AL15" i="77"/>
  <c r="N139" i="81" s="1"/>
  <c r="AP3" i="77"/>
  <c r="AR3" i="77"/>
  <c r="X74" i="77"/>
  <c r="Y74" i="77"/>
  <c r="AD74" i="77"/>
  <c r="N180" i="81" s="1"/>
  <c r="Z74" i="77"/>
  <c r="T86" i="77"/>
  <c r="AG86" i="77"/>
  <c r="AH78" i="80"/>
  <c r="AH78" i="77"/>
  <c r="AE41" i="80"/>
  <c r="AE34" i="80"/>
  <c r="Z36" i="74"/>
  <c r="X36" i="74"/>
  <c r="AD70" i="74"/>
  <c r="B176" i="81" s="1"/>
  <c r="AH22" i="76"/>
  <c r="AD34" i="76"/>
  <c r="AD41" i="76"/>
  <c r="AD53" i="76" s="1"/>
  <c r="AG22" i="76"/>
  <c r="Y74" i="76"/>
  <c r="AD74" i="76"/>
  <c r="Z74" i="76"/>
  <c r="X74" i="76"/>
  <c r="Y3" i="76"/>
  <c r="Z3" i="76"/>
  <c r="X3" i="76"/>
  <c r="AP3" i="76"/>
  <c r="AQ3" i="76"/>
  <c r="AL15" i="76"/>
  <c r="H139" i="81" s="1"/>
  <c r="AC53" i="76"/>
  <c r="AD41" i="74"/>
  <c r="AD53" i="74" s="1"/>
  <c r="AE52" i="74"/>
  <c r="AE42" i="74"/>
  <c r="F122" i="74"/>
  <c r="AF59" i="74"/>
  <c r="D165" i="81" s="1"/>
  <c r="AI165" i="81" s="1"/>
  <c r="Z59" i="74"/>
  <c r="Y59" i="74"/>
  <c r="X59" i="74"/>
  <c r="V70" i="74"/>
  <c r="AF67" i="74"/>
  <c r="D173" i="81" s="1"/>
  <c r="AI173" i="81" s="1"/>
  <c r="Z67" i="74"/>
  <c r="Y67" i="74"/>
  <c r="X67" i="74"/>
  <c r="AG58" i="74"/>
  <c r="W70" i="74"/>
  <c r="AE58" i="74"/>
  <c r="U70" i="74"/>
  <c r="Y58" i="74"/>
  <c r="X58" i="74"/>
  <c r="Z58" i="74"/>
  <c r="AF69" i="74"/>
  <c r="D175" i="81" s="1"/>
  <c r="AI175" i="81" s="1"/>
  <c r="X69" i="74"/>
  <c r="Z69" i="74"/>
  <c r="Y69" i="74"/>
  <c r="AE44" i="74"/>
  <c r="AF41" i="74"/>
  <c r="AF53" i="74" s="1"/>
  <c r="AF34" i="74"/>
  <c r="AE34" i="74"/>
  <c r="AK57" i="44"/>
  <c r="AK54" i="45"/>
  <c r="AK58" i="45"/>
  <c r="AK65" i="45"/>
  <c r="AK69" i="45"/>
  <c r="AK78" i="45"/>
  <c r="AK85" i="45"/>
  <c r="AK89" i="45"/>
  <c r="AK85" i="48"/>
  <c r="AK89" i="48"/>
  <c r="AK64" i="44"/>
  <c r="AK68" i="44"/>
  <c r="AK77" i="44"/>
  <c r="AK81" i="44"/>
  <c r="AK91" i="44"/>
  <c r="AK53" i="44"/>
  <c r="AK53" i="48"/>
  <c r="AK57" i="48"/>
  <c r="AK64" i="48"/>
  <c r="AK68" i="48"/>
  <c r="AK77" i="48"/>
  <c r="AK56" i="44"/>
  <c r="AK68" i="45"/>
  <c r="AK77" i="45"/>
  <c r="AK81" i="45"/>
  <c r="AK88" i="45"/>
  <c r="AK55" i="44"/>
  <c r="AK59" i="44"/>
  <c r="AK56" i="45"/>
  <c r="AK63" i="45"/>
  <c r="AK67" i="45"/>
  <c r="AK76" i="45"/>
  <c r="AK80" i="45"/>
  <c r="AK87" i="45"/>
  <c r="AK91" i="45"/>
  <c r="AK56" i="48"/>
  <c r="AK63" i="48"/>
  <c r="AK67" i="48"/>
  <c r="AK76" i="48"/>
  <c r="AK80" i="48"/>
  <c r="AK87" i="48"/>
  <c r="AK91" i="48"/>
  <c r="AK66" i="44"/>
  <c r="AK75" i="44"/>
  <c r="AK79" i="44"/>
  <c r="AK86" i="44"/>
  <c r="AK89" i="44"/>
  <c r="AK53" i="45"/>
  <c r="AK57" i="45"/>
  <c r="AK64" i="45"/>
  <c r="AK54" i="44"/>
  <c r="AK58" i="44"/>
  <c r="AK55" i="45"/>
  <c r="AK59" i="45"/>
  <c r="AK66" i="45"/>
  <c r="AK75" i="45"/>
  <c r="AK79" i="45"/>
  <c r="AK86" i="45"/>
  <c r="AK90" i="45"/>
  <c r="AK55" i="48"/>
  <c r="AK59" i="48"/>
  <c r="AK66" i="48"/>
  <c r="AK75" i="48"/>
  <c r="AK79" i="48"/>
  <c r="AK86" i="48"/>
  <c r="AK90" i="48"/>
  <c r="AK65" i="44"/>
  <c r="AK69" i="44"/>
  <c r="AK78" i="44"/>
  <c r="AK85" i="44"/>
  <c r="AK88" i="44"/>
  <c r="AK54" i="48"/>
  <c r="AK58" i="48"/>
  <c r="AK65" i="48"/>
  <c r="AK69" i="48"/>
  <c r="AK78" i="48"/>
  <c r="AK81" i="48"/>
  <c r="AK88" i="48"/>
  <c r="AK63" i="44"/>
  <c r="AK67" i="44"/>
  <c r="AK76" i="44"/>
  <c r="AK80" i="44"/>
  <c r="AK87" i="44"/>
  <c r="AK90" i="44"/>
  <c r="AJ90" i="43"/>
  <c r="AI90" i="43"/>
  <c r="AH90" i="43"/>
  <c r="AG90" i="43"/>
  <c r="AF90" i="43"/>
  <c r="AE90" i="43"/>
  <c r="AD90" i="43"/>
  <c r="AC90" i="43"/>
  <c r="AB90" i="43"/>
  <c r="AA90" i="43"/>
  <c r="Z90" i="43"/>
  <c r="Y90" i="43"/>
  <c r="X90" i="43"/>
  <c r="W90" i="43"/>
  <c r="V90" i="43"/>
  <c r="R90" i="43"/>
  <c r="AJ89" i="43"/>
  <c r="AI89" i="43"/>
  <c r="AH89" i="43"/>
  <c r="AG89" i="43"/>
  <c r="AF89" i="43"/>
  <c r="AE89" i="43"/>
  <c r="AD89" i="43"/>
  <c r="AC89" i="43"/>
  <c r="AB89" i="43"/>
  <c r="AA89" i="43"/>
  <c r="Z89" i="43"/>
  <c r="Y89" i="43"/>
  <c r="X89" i="43"/>
  <c r="W89" i="43"/>
  <c r="V89" i="43"/>
  <c r="R89" i="43"/>
  <c r="AJ88" i="43"/>
  <c r="AI88" i="43"/>
  <c r="AH88" i="43"/>
  <c r="AG88" i="43"/>
  <c r="AF88" i="43"/>
  <c r="AE88" i="43"/>
  <c r="AD88" i="43"/>
  <c r="AC88" i="43"/>
  <c r="AB88" i="43"/>
  <c r="AA88" i="43"/>
  <c r="Z88" i="43"/>
  <c r="Y88" i="43"/>
  <c r="X88" i="43"/>
  <c r="W88" i="43"/>
  <c r="V88" i="43"/>
  <c r="R88" i="43"/>
  <c r="AJ87" i="43"/>
  <c r="AI87" i="43"/>
  <c r="AH87" i="43"/>
  <c r="AG87" i="43"/>
  <c r="AF87" i="43"/>
  <c r="AE87" i="43"/>
  <c r="AD87" i="43"/>
  <c r="AC87" i="43"/>
  <c r="AB87" i="43"/>
  <c r="AA87" i="43"/>
  <c r="Z87" i="43"/>
  <c r="Y87" i="43"/>
  <c r="X87" i="43"/>
  <c r="W87" i="43"/>
  <c r="V87" i="43"/>
  <c r="R87" i="43"/>
  <c r="AJ86" i="43"/>
  <c r="AI86" i="43"/>
  <c r="AH86" i="43"/>
  <c r="AG86" i="43"/>
  <c r="AF86" i="43"/>
  <c r="AE86" i="43"/>
  <c r="AD86" i="43"/>
  <c r="AC86" i="43"/>
  <c r="AB86" i="43"/>
  <c r="AA86" i="43"/>
  <c r="Z86" i="43"/>
  <c r="Y86" i="43"/>
  <c r="X86" i="43"/>
  <c r="W86" i="43"/>
  <c r="V86" i="43"/>
  <c r="R86" i="43"/>
  <c r="AJ85" i="43"/>
  <c r="AI85" i="43"/>
  <c r="AH85" i="43"/>
  <c r="AG85" i="43"/>
  <c r="AF85" i="43"/>
  <c r="AE85" i="43"/>
  <c r="AD85" i="43"/>
  <c r="AC85" i="43"/>
  <c r="AB85" i="43"/>
  <c r="AA85" i="43"/>
  <c r="Z85" i="43"/>
  <c r="Y85" i="43"/>
  <c r="X85" i="43"/>
  <c r="W85" i="43"/>
  <c r="V85" i="43"/>
  <c r="R85" i="43"/>
  <c r="AJ91" i="43"/>
  <c r="AI91" i="43"/>
  <c r="AH91" i="43"/>
  <c r="AG91" i="43"/>
  <c r="AF91" i="43"/>
  <c r="AE91" i="43"/>
  <c r="AD91" i="43"/>
  <c r="AC91" i="43"/>
  <c r="AB91" i="43"/>
  <c r="AA91" i="43"/>
  <c r="Z91" i="43"/>
  <c r="Y91" i="43"/>
  <c r="X91" i="43"/>
  <c r="W91" i="43"/>
  <c r="V91" i="43"/>
  <c r="R91" i="43"/>
  <c r="AJ80" i="43"/>
  <c r="AI80" i="43"/>
  <c r="AH80" i="43"/>
  <c r="AG80" i="43"/>
  <c r="AF80" i="43"/>
  <c r="AE80" i="43"/>
  <c r="AD80" i="43"/>
  <c r="AC80" i="43"/>
  <c r="AB80" i="43"/>
  <c r="AA80" i="43"/>
  <c r="Z80" i="43"/>
  <c r="Y80" i="43"/>
  <c r="X80" i="43"/>
  <c r="W80" i="43"/>
  <c r="V80" i="43"/>
  <c r="R80" i="43"/>
  <c r="AJ79" i="43"/>
  <c r="AI79" i="43"/>
  <c r="AH79" i="43"/>
  <c r="AG79" i="43"/>
  <c r="AF79" i="43"/>
  <c r="AE79" i="43"/>
  <c r="AD79" i="43"/>
  <c r="AC79" i="43"/>
  <c r="AB79" i="43"/>
  <c r="AA79" i="43"/>
  <c r="Z79" i="43"/>
  <c r="Y79" i="43"/>
  <c r="X79" i="43"/>
  <c r="W79" i="43"/>
  <c r="V79" i="43"/>
  <c r="R79" i="43"/>
  <c r="AJ78" i="43"/>
  <c r="AI78" i="43"/>
  <c r="AH78" i="43"/>
  <c r="AG78" i="43"/>
  <c r="AF78" i="43"/>
  <c r="AE78" i="43"/>
  <c r="AD78" i="43"/>
  <c r="AC78" i="43"/>
  <c r="AB78" i="43"/>
  <c r="AA78" i="43"/>
  <c r="Z78" i="43"/>
  <c r="Y78" i="43"/>
  <c r="X78" i="43"/>
  <c r="W78" i="43"/>
  <c r="V78" i="43"/>
  <c r="R78" i="43"/>
  <c r="AJ77" i="43"/>
  <c r="AI77" i="43"/>
  <c r="AH77" i="43"/>
  <c r="AG77" i="43"/>
  <c r="AF77" i="43"/>
  <c r="AE77" i="43"/>
  <c r="AD77" i="43"/>
  <c r="AC77" i="43"/>
  <c r="AB77" i="43"/>
  <c r="AA77" i="43"/>
  <c r="Z77" i="43"/>
  <c r="Y77" i="43"/>
  <c r="X77" i="43"/>
  <c r="W77" i="43"/>
  <c r="V77" i="43"/>
  <c r="R77" i="43"/>
  <c r="AJ76" i="43"/>
  <c r="AI76" i="43"/>
  <c r="AH76" i="43"/>
  <c r="AG76" i="43"/>
  <c r="AF76" i="43"/>
  <c r="AE76" i="43"/>
  <c r="AD76" i="43"/>
  <c r="AC76" i="43"/>
  <c r="AB76" i="43"/>
  <c r="AA76" i="43"/>
  <c r="Z76" i="43"/>
  <c r="Y76" i="43"/>
  <c r="X76" i="43"/>
  <c r="W76" i="43"/>
  <c r="V76" i="43"/>
  <c r="R76" i="43"/>
  <c r="AJ75" i="43"/>
  <c r="AI75" i="43"/>
  <c r="AH75" i="43"/>
  <c r="AG75" i="43"/>
  <c r="AF75" i="43"/>
  <c r="AE75" i="43"/>
  <c r="AD75" i="43"/>
  <c r="AC75" i="43"/>
  <c r="AB75" i="43"/>
  <c r="AA75" i="43"/>
  <c r="Z75" i="43"/>
  <c r="Y75" i="43"/>
  <c r="X75" i="43"/>
  <c r="W75" i="43"/>
  <c r="V75" i="43"/>
  <c r="R75" i="43"/>
  <c r="AJ81" i="43"/>
  <c r="AI81" i="43"/>
  <c r="AH81" i="43"/>
  <c r="AG81" i="43"/>
  <c r="AF81" i="43"/>
  <c r="AE81" i="43"/>
  <c r="AD81" i="43"/>
  <c r="AC81" i="43"/>
  <c r="AB81" i="43"/>
  <c r="AA81" i="43"/>
  <c r="Z81" i="43"/>
  <c r="Y81" i="43"/>
  <c r="X81" i="43"/>
  <c r="W81" i="43"/>
  <c r="V81" i="43"/>
  <c r="R81" i="43"/>
  <c r="B49" i="38"/>
  <c r="B49" i="34"/>
  <c r="B49" i="56" s="1"/>
  <c r="AG170" i="81" l="1"/>
  <c r="AG86" i="80"/>
  <c r="AC53" i="77"/>
  <c r="V182" i="81"/>
  <c r="V192" i="81" s="1"/>
  <c r="AH76" i="80"/>
  <c r="AH79" i="77"/>
  <c r="N185" i="81"/>
  <c r="N192" i="81" s="1"/>
  <c r="AH76" i="77"/>
  <c r="AF86" i="77"/>
  <c r="V191" i="81"/>
  <c r="AH85" i="80"/>
  <c r="AE53" i="80"/>
  <c r="AH84" i="77"/>
  <c r="V190" i="81"/>
  <c r="AH84" i="80"/>
  <c r="AF86" i="80"/>
  <c r="W187" i="81"/>
  <c r="AH81" i="80"/>
  <c r="W183" i="81"/>
  <c r="AH77" i="80"/>
  <c r="O191" i="81"/>
  <c r="O192" i="81" s="1"/>
  <c r="AH85" i="77"/>
  <c r="AE86" i="77"/>
  <c r="P192" i="81"/>
  <c r="AM149" i="81"/>
  <c r="AG171" i="81"/>
  <c r="I164" i="81"/>
  <c r="AE70" i="76"/>
  <c r="I176" i="81" s="1"/>
  <c r="O167" i="81"/>
  <c r="AH167" i="81" s="1"/>
  <c r="AE70" i="77"/>
  <c r="O176" i="81" s="1"/>
  <c r="AC53" i="80"/>
  <c r="H166" i="81"/>
  <c r="AG166" i="81" s="1"/>
  <c r="AD70" i="76"/>
  <c r="H176" i="81" s="1"/>
  <c r="AD70" i="80"/>
  <c r="T176" i="81" s="1"/>
  <c r="T164" i="81"/>
  <c r="AG164" i="81" s="1"/>
  <c r="N168" i="81"/>
  <c r="AG168" i="81" s="1"/>
  <c r="AD70" i="77"/>
  <c r="N176" i="81" s="1"/>
  <c r="AI176" i="81"/>
  <c r="AE70" i="74"/>
  <c r="C176" i="81" s="1"/>
  <c r="C164" i="81"/>
  <c r="AG70" i="74"/>
  <c r="AM148" i="81" s="1"/>
  <c r="AR148" i="81" s="1"/>
  <c r="E164" i="81"/>
  <c r="AJ164" i="81" s="1"/>
  <c r="AJ176" i="81" s="1"/>
  <c r="AD86" i="76"/>
  <c r="H180" i="81"/>
  <c r="H192" i="81" s="1"/>
  <c r="P195" i="81"/>
  <c r="P194" i="81"/>
  <c r="J192" i="81"/>
  <c r="V195" i="81"/>
  <c r="J195" i="81"/>
  <c r="J194" i="81"/>
  <c r="AH74" i="77"/>
  <c r="AD86" i="77"/>
  <c r="AE53" i="74"/>
  <c r="AF70" i="74"/>
  <c r="D176" i="81" s="1"/>
  <c r="AK76" i="43"/>
  <c r="AK80" i="43"/>
  <c r="AK87" i="43"/>
  <c r="AK90" i="43"/>
  <c r="AK79" i="43"/>
  <c r="AK78" i="43"/>
  <c r="AK85" i="43"/>
  <c r="AK89" i="43"/>
  <c r="AK75" i="43"/>
  <c r="AK86" i="43"/>
  <c r="AK81" i="43"/>
  <c r="AK77" i="43"/>
  <c r="AK91" i="43"/>
  <c r="AK88" i="43"/>
  <c r="AJ68" i="43"/>
  <c r="AI68" i="43"/>
  <c r="AH68" i="43"/>
  <c r="AG68" i="43"/>
  <c r="AF68" i="43"/>
  <c r="AE68" i="43"/>
  <c r="AD68" i="43"/>
  <c r="AC68" i="43"/>
  <c r="AB68" i="43"/>
  <c r="AA68" i="43"/>
  <c r="Z68" i="43"/>
  <c r="Y68" i="43"/>
  <c r="X68" i="43"/>
  <c r="W68" i="43"/>
  <c r="V68" i="43"/>
  <c r="R68" i="43"/>
  <c r="AJ67" i="43"/>
  <c r="AI67" i="43"/>
  <c r="AH67" i="43"/>
  <c r="AG67" i="43"/>
  <c r="AF67" i="43"/>
  <c r="AE67" i="43"/>
  <c r="AD67" i="43"/>
  <c r="AC67" i="43"/>
  <c r="AB67" i="43"/>
  <c r="AA67" i="43"/>
  <c r="Z67" i="43"/>
  <c r="Y67" i="43"/>
  <c r="X67" i="43"/>
  <c r="W67" i="43"/>
  <c r="V67" i="43"/>
  <c r="R67" i="43"/>
  <c r="AJ66" i="43"/>
  <c r="AI66" i="43"/>
  <c r="AH66" i="43"/>
  <c r="AG66" i="43"/>
  <c r="AF66" i="43"/>
  <c r="AE66" i="43"/>
  <c r="AD66" i="43"/>
  <c r="AC66" i="43"/>
  <c r="AB66" i="43"/>
  <c r="AA66" i="43"/>
  <c r="Z66" i="43"/>
  <c r="Y66" i="43"/>
  <c r="X66" i="43"/>
  <c r="W66" i="43"/>
  <c r="V66" i="43"/>
  <c r="R66" i="43"/>
  <c r="AJ65" i="43"/>
  <c r="AI65" i="43"/>
  <c r="AH65" i="43"/>
  <c r="AG65" i="43"/>
  <c r="AF65" i="43"/>
  <c r="AE65" i="43"/>
  <c r="AD65" i="43"/>
  <c r="AC65" i="43"/>
  <c r="AB65" i="43"/>
  <c r="AA65" i="43"/>
  <c r="Z65" i="43"/>
  <c r="Y65" i="43"/>
  <c r="X65" i="43"/>
  <c r="W65" i="43"/>
  <c r="V65" i="43"/>
  <c r="R65" i="43"/>
  <c r="AJ64" i="43"/>
  <c r="AI64" i="43"/>
  <c r="AH64" i="43"/>
  <c r="AG64" i="43"/>
  <c r="AF64" i="43"/>
  <c r="AE64" i="43"/>
  <c r="AD64" i="43"/>
  <c r="AC64" i="43"/>
  <c r="AB64" i="43"/>
  <c r="AA64" i="43"/>
  <c r="Z64" i="43"/>
  <c r="Y64" i="43"/>
  <c r="X64" i="43"/>
  <c r="W64" i="43"/>
  <c r="V64" i="43"/>
  <c r="R64" i="43"/>
  <c r="AJ63" i="43"/>
  <c r="AI63" i="43"/>
  <c r="AH63" i="43"/>
  <c r="AG63" i="43"/>
  <c r="AF63" i="43"/>
  <c r="AE63" i="43"/>
  <c r="AD63" i="43"/>
  <c r="AC63" i="43"/>
  <c r="AB63" i="43"/>
  <c r="AA63" i="43"/>
  <c r="Z63" i="43"/>
  <c r="Y63" i="43"/>
  <c r="X63" i="43"/>
  <c r="W63" i="43"/>
  <c r="V63" i="43"/>
  <c r="R63" i="43"/>
  <c r="AJ69" i="43"/>
  <c r="AI69" i="43"/>
  <c r="AH69" i="43"/>
  <c r="AG69" i="43"/>
  <c r="AF69" i="43"/>
  <c r="AE69" i="43"/>
  <c r="AD69" i="43"/>
  <c r="AC69" i="43"/>
  <c r="AB69" i="43"/>
  <c r="AA69" i="43"/>
  <c r="Z69" i="43"/>
  <c r="Y69" i="43"/>
  <c r="X69" i="43"/>
  <c r="W69" i="43"/>
  <c r="V69" i="43"/>
  <c r="R69" i="43"/>
  <c r="AJ58" i="43"/>
  <c r="AI58" i="43"/>
  <c r="AH58" i="43"/>
  <c r="AG58" i="43"/>
  <c r="AF58" i="43"/>
  <c r="AE58" i="43"/>
  <c r="AD58" i="43"/>
  <c r="AC58" i="43"/>
  <c r="AB58" i="43"/>
  <c r="AA58" i="43"/>
  <c r="Z58" i="43"/>
  <c r="Y58" i="43"/>
  <c r="X58" i="43"/>
  <c r="W58" i="43"/>
  <c r="V58" i="43"/>
  <c r="R58" i="43"/>
  <c r="AJ57" i="43"/>
  <c r="AI57" i="43"/>
  <c r="AH57" i="43"/>
  <c r="AG57" i="43"/>
  <c r="AF57" i="43"/>
  <c r="AE57" i="43"/>
  <c r="AD57" i="43"/>
  <c r="AC57" i="43"/>
  <c r="AB57" i="43"/>
  <c r="AA57" i="43"/>
  <c r="Z57" i="43"/>
  <c r="Y57" i="43"/>
  <c r="X57" i="43"/>
  <c r="W57" i="43"/>
  <c r="V57" i="43"/>
  <c r="R57" i="43"/>
  <c r="AJ56" i="43"/>
  <c r="AI56" i="43"/>
  <c r="AH56" i="43"/>
  <c r="AG56" i="43"/>
  <c r="AF56" i="43"/>
  <c r="AE56" i="43"/>
  <c r="AD56" i="43"/>
  <c r="AC56" i="43"/>
  <c r="AB56" i="43"/>
  <c r="AA56" i="43"/>
  <c r="Z56" i="43"/>
  <c r="Y56" i="43"/>
  <c r="X56" i="43"/>
  <c r="W56" i="43"/>
  <c r="V56" i="43"/>
  <c r="R56" i="43"/>
  <c r="AJ55" i="43"/>
  <c r="AI55" i="43"/>
  <c r="AH55" i="43"/>
  <c r="AG55" i="43"/>
  <c r="AF55" i="43"/>
  <c r="AE55" i="43"/>
  <c r="AD55" i="43"/>
  <c r="AC55" i="43"/>
  <c r="AB55" i="43"/>
  <c r="AA55" i="43"/>
  <c r="Z55" i="43"/>
  <c r="Y55" i="43"/>
  <c r="X55" i="43"/>
  <c r="W55" i="43"/>
  <c r="V55" i="43"/>
  <c r="R55" i="43"/>
  <c r="AJ54" i="43"/>
  <c r="AI54" i="43"/>
  <c r="AH54" i="43"/>
  <c r="AG54" i="43"/>
  <c r="AF54" i="43"/>
  <c r="AE54" i="43"/>
  <c r="AD54" i="43"/>
  <c r="AC54" i="43"/>
  <c r="AB54" i="43"/>
  <c r="AA54" i="43"/>
  <c r="Z54" i="43"/>
  <c r="Y54" i="43"/>
  <c r="X54" i="43"/>
  <c r="W54" i="43"/>
  <c r="V54" i="43"/>
  <c r="R54" i="43"/>
  <c r="AJ53" i="43"/>
  <c r="AI53" i="43"/>
  <c r="AH53" i="43"/>
  <c r="AG53" i="43"/>
  <c r="AF53" i="43"/>
  <c r="AE53" i="43"/>
  <c r="AD53" i="43"/>
  <c r="AC53" i="43"/>
  <c r="AB53" i="43"/>
  <c r="AA53" i="43"/>
  <c r="Z53" i="43"/>
  <c r="Y53" i="43"/>
  <c r="X53" i="43"/>
  <c r="W53" i="43"/>
  <c r="V53" i="43"/>
  <c r="R53" i="43"/>
  <c r="AJ59" i="43"/>
  <c r="AI59" i="43"/>
  <c r="AH59" i="43"/>
  <c r="AG59" i="43"/>
  <c r="AF59" i="43"/>
  <c r="AE59" i="43"/>
  <c r="AD59" i="43"/>
  <c r="AC59" i="43"/>
  <c r="AB59" i="43"/>
  <c r="AA59" i="43"/>
  <c r="Z59" i="43"/>
  <c r="Y59" i="43"/>
  <c r="X59" i="43"/>
  <c r="W59" i="43"/>
  <c r="V59" i="43"/>
  <c r="R59" i="43"/>
  <c r="AJ70" i="38"/>
  <c r="AI70" i="38"/>
  <c r="AH70" i="38"/>
  <c r="AG70" i="38"/>
  <c r="AF70" i="38"/>
  <c r="AE70" i="38"/>
  <c r="AD70" i="38"/>
  <c r="AC70" i="38"/>
  <c r="AB70" i="38"/>
  <c r="AA70" i="38"/>
  <c r="Z70" i="38"/>
  <c r="Y70" i="38"/>
  <c r="X70" i="38"/>
  <c r="W70" i="38"/>
  <c r="V70" i="38"/>
  <c r="R70" i="38"/>
  <c r="AJ69" i="38"/>
  <c r="AI69" i="38"/>
  <c r="AH69" i="38"/>
  <c r="AG69" i="38"/>
  <c r="AF69" i="38"/>
  <c r="AE69" i="38"/>
  <c r="AD69" i="38"/>
  <c r="AC69" i="38"/>
  <c r="AB69" i="38"/>
  <c r="AA69" i="38"/>
  <c r="Z69" i="38"/>
  <c r="Y69" i="38"/>
  <c r="X69" i="38"/>
  <c r="W69" i="38"/>
  <c r="V69" i="38"/>
  <c r="R69" i="38"/>
  <c r="AJ68" i="38"/>
  <c r="AI68" i="38"/>
  <c r="AH68" i="38"/>
  <c r="AG68" i="38"/>
  <c r="AF68" i="38"/>
  <c r="AE68" i="38"/>
  <c r="AD68" i="38"/>
  <c r="AC68" i="38"/>
  <c r="AB68" i="38"/>
  <c r="AA68" i="38"/>
  <c r="Z68" i="38"/>
  <c r="Y68" i="38"/>
  <c r="X68" i="38"/>
  <c r="W68" i="38"/>
  <c r="V68" i="38"/>
  <c r="R68" i="38"/>
  <c r="AJ67" i="38"/>
  <c r="AI67" i="38"/>
  <c r="AH67" i="38"/>
  <c r="AG67" i="38"/>
  <c r="AF67" i="38"/>
  <c r="AE67" i="38"/>
  <c r="AD67" i="38"/>
  <c r="AC67" i="38"/>
  <c r="AB67" i="38"/>
  <c r="AA67" i="38"/>
  <c r="Z67" i="38"/>
  <c r="Y67" i="38"/>
  <c r="X67" i="38"/>
  <c r="W67" i="38"/>
  <c r="V67" i="38"/>
  <c r="R67" i="38"/>
  <c r="AJ66" i="38"/>
  <c r="AI66" i="38"/>
  <c r="AH66" i="38"/>
  <c r="AG66" i="38"/>
  <c r="AF66" i="38"/>
  <c r="AE66" i="38"/>
  <c r="AD66" i="38"/>
  <c r="AC66" i="38"/>
  <c r="AB66" i="38"/>
  <c r="AA66" i="38"/>
  <c r="Z66" i="38"/>
  <c r="Y66" i="38"/>
  <c r="X66" i="38"/>
  <c r="W66" i="38"/>
  <c r="V66" i="38"/>
  <c r="R66" i="38"/>
  <c r="AJ65" i="38"/>
  <c r="AI65" i="38"/>
  <c r="AH65" i="38"/>
  <c r="AG65" i="38"/>
  <c r="AF65" i="38"/>
  <c r="AE65" i="38"/>
  <c r="AD65" i="38"/>
  <c r="AC65" i="38"/>
  <c r="AB65" i="38"/>
  <c r="AA65" i="38"/>
  <c r="Z65" i="38"/>
  <c r="Y65" i="38"/>
  <c r="X65" i="38"/>
  <c r="W65" i="38"/>
  <c r="V65" i="38"/>
  <c r="R65" i="38"/>
  <c r="AJ64" i="38"/>
  <c r="AI64" i="38"/>
  <c r="AH64" i="38"/>
  <c r="AG64" i="38"/>
  <c r="AF64" i="38"/>
  <c r="AE64" i="38"/>
  <c r="AD64" i="38"/>
  <c r="AC64" i="38"/>
  <c r="AB64" i="38"/>
  <c r="AA64" i="38"/>
  <c r="Z64" i="38"/>
  <c r="Y64" i="38"/>
  <c r="X64" i="38"/>
  <c r="W64" i="38"/>
  <c r="V64" i="38"/>
  <c r="R64" i="38"/>
  <c r="AJ59" i="38"/>
  <c r="AI59" i="38"/>
  <c r="AH59" i="38"/>
  <c r="AG59" i="38"/>
  <c r="AF59" i="38"/>
  <c r="AE59" i="38"/>
  <c r="AD59" i="38"/>
  <c r="AC59" i="38"/>
  <c r="AB59" i="38"/>
  <c r="AA59" i="38"/>
  <c r="Z59" i="38"/>
  <c r="Y59" i="38"/>
  <c r="X59" i="38"/>
  <c r="W59" i="38"/>
  <c r="V59" i="38"/>
  <c r="R59" i="38"/>
  <c r="AJ58" i="38"/>
  <c r="AI58" i="38"/>
  <c r="AH58" i="38"/>
  <c r="AG58" i="38"/>
  <c r="AF58" i="38"/>
  <c r="AE58" i="38"/>
  <c r="AD58" i="38"/>
  <c r="AC58" i="38"/>
  <c r="AB58" i="38"/>
  <c r="AA58" i="38"/>
  <c r="Z58" i="38"/>
  <c r="Y58" i="38"/>
  <c r="X58" i="38"/>
  <c r="W58" i="38"/>
  <c r="V58" i="38"/>
  <c r="R58" i="38"/>
  <c r="AJ57" i="38"/>
  <c r="AI57" i="38"/>
  <c r="AH57" i="38"/>
  <c r="AG57" i="38"/>
  <c r="AF57" i="38"/>
  <c r="AE57" i="38"/>
  <c r="AD57" i="38"/>
  <c r="AC57" i="38"/>
  <c r="AB57" i="38"/>
  <c r="AA57" i="38"/>
  <c r="Z57" i="38"/>
  <c r="Y57" i="38"/>
  <c r="X57" i="38"/>
  <c r="W57" i="38"/>
  <c r="V57" i="38"/>
  <c r="R57" i="38"/>
  <c r="AJ56" i="38"/>
  <c r="AI56" i="38"/>
  <c r="AH56" i="38"/>
  <c r="AG56" i="38"/>
  <c r="AF56" i="38"/>
  <c r="AE56" i="38"/>
  <c r="AD56" i="38"/>
  <c r="AC56" i="38"/>
  <c r="AB56" i="38"/>
  <c r="AA56" i="38"/>
  <c r="Z56" i="38"/>
  <c r="Y56" i="38"/>
  <c r="X56" i="38"/>
  <c r="W56" i="38"/>
  <c r="V56" i="38"/>
  <c r="R56" i="38"/>
  <c r="AJ55" i="38"/>
  <c r="AI55" i="38"/>
  <c r="AH55" i="38"/>
  <c r="AG55" i="38"/>
  <c r="AF55" i="38"/>
  <c r="AE55" i="38"/>
  <c r="AD55" i="38"/>
  <c r="AC55" i="38"/>
  <c r="AB55" i="38"/>
  <c r="AA55" i="38"/>
  <c r="Z55" i="38"/>
  <c r="Y55" i="38"/>
  <c r="X55" i="38"/>
  <c r="W55" i="38"/>
  <c r="V55" i="38"/>
  <c r="R55" i="38"/>
  <c r="AJ54" i="38"/>
  <c r="AI54" i="38"/>
  <c r="AH54" i="38"/>
  <c r="AG54" i="38"/>
  <c r="AF54" i="38"/>
  <c r="AE54" i="38"/>
  <c r="AD54" i="38"/>
  <c r="AC54" i="38"/>
  <c r="AB54" i="38"/>
  <c r="AA54" i="38"/>
  <c r="Z54" i="38"/>
  <c r="Y54" i="38"/>
  <c r="X54" i="38"/>
  <c r="W54" i="38"/>
  <c r="V54" i="38"/>
  <c r="R54" i="38"/>
  <c r="AJ53" i="38"/>
  <c r="AI53" i="38"/>
  <c r="AH53" i="38"/>
  <c r="AG53" i="38"/>
  <c r="AF53" i="38"/>
  <c r="AE53" i="38"/>
  <c r="AD53" i="38"/>
  <c r="AC53" i="38"/>
  <c r="AB53" i="38"/>
  <c r="AA53" i="38"/>
  <c r="Z53" i="38"/>
  <c r="Y53" i="38"/>
  <c r="X53" i="38"/>
  <c r="W53" i="38"/>
  <c r="V53" i="38"/>
  <c r="R53" i="38"/>
  <c r="AJ70" i="56"/>
  <c r="AI70" i="56"/>
  <c r="AH70" i="56"/>
  <c r="AG70" i="56"/>
  <c r="AF70" i="56"/>
  <c r="AE70" i="56"/>
  <c r="AD70" i="56"/>
  <c r="AC70" i="56"/>
  <c r="AB70" i="56"/>
  <c r="AA70" i="56"/>
  <c r="Z70" i="56"/>
  <c r="Y70" i="56"/>
  <c r="X70" i="56"/>
  <c r="W70" i="56"/>
  <c r="V70" i="56"/>
  <c r="R70" i="56"/>
  <c r="AJ69" i="56"/>
  <c r="AI69" i="56"/>
  <c r="AH69" i="56"/>
  <c r="AG69" i="56"/>
  <c r="AF69" i="56"/>
  <c r="AE69" i="56"/>
  <c r="AD69" i="56"/>
  <c r="AC69" i="56"/>
  <c r="AB69" i="56"/>
  <c r="AA69" i="56"/>
  <c r="Z69" i="56"/>
  <c r="Y69" i="56"/>
  <c r="X69" i="56"/>
  <c r="W69" i="56"/>
  <c r="V69" i="56"/>
  <c r="R69" i="56"/>
  <c r="AJ68" i="56"/>
  <c r="AI68" i="56"/>
  <c r="AH68" i="56"/>
  <c r="AG68" i="56"/>
  <c r="AF68" i="56"/>
  <c r="AE68" i="56"/>
  <c r="AD68" i="56"/>
  <c r="AC68" i="56"/>
  <c r="AB68" i="56"/>
  <c r="AA68" i="56"/>
  <c r="Z68" i="56"/>
  <c r="Y68" i="56"/>
  <c r="X68" i="56"/>
  <c r="W68" i="56"/>
  <c r="V68" i="56"/>
  <c r="R68" i="56"/>
  <c r="AJ67" i="56"/>
  <c r="AI67" i="56"/>
  <c r="AH67" i="56"/>
  <c r="AG67" i="56"/>
  <c r="AF67" i="56"/>
  <c r="AE67" i="56"/>
  <c r="AD67" i="56"/>
  <c r="AC67" i="56"/>
  <c r="AB67" i="56"/>
  <c r="AA67" i="56"/>
  <c r="Z67" i="56"/>
  <c r="Y67" i="56"/>
  <c r="X67" i="56"/>
  <c r="W67" i="56"/>
  <c r="V67" i="56"/>
  <c r="R67" i="56"/>
  <c r="AJ66" i="56"/>
  <c r="AI66" i="56"/>
  <c r="AH66" i="56"/>
  <c r="AG66" i="56"/>
  <c r="AF66" i="56"/>
  <c r="AE66" i="56"/>
  <c r="AD66" i="56"/>
  <c r="AC66" i="56"/>
  <c r="AB66" i="56"/>
  <c r="AA66" i="56"/>
  <c r="Z66" i="56"/>
  <c r="Y66" i="56"/>
  <c r="X66" i="56"/>
  <c r="W66" i="56"/>
  <c r="V66" i="56"/>
  <c r="R66" i="56"/>
  <c r="AJ65" i="56"/>
  <c r="AI65" i="56"/>
  <c r="AH65" i="56"/>
  <c r="AG65" i="56"/>
  <c r="AF65" i="56"/>
  <c r="AE65" i="56"/>
  <c r="AD65" i="56"/>
  <c r="AC65" i="56"/>
  <c r="AB65" i="56"/>
  <c r="AA65" i="56"/>
  <c r="Z65" i="56"/>
  <c r="Y65" i="56"/>
  <c r="X65" i="56"/>
  <c r="W65" i="56"/>
  <c r="V65" i="56"/>
  <c r="R65" i="56"/>
  <c r="AJ64" i="56"/>
  <c r="AI64" i="56"/>
  <c r="AH64" i="56"/>
  <c r="AG64" i="56"/>
  <c r="AF64" i="56"/>
  <c r="AE64" i="56"/>
  <c r="AD64" i="56"/>
  <c r="AC64" i="56"/>
  <c r="AB64" i="56"/>
  <c r="AA64" i="56"/>
  <c r="Z64" i="56"/>
  <c r="Y64" i="56"/>
  <c r="X64" i="56"/>
  <c r="W64" i="56"/>
  <c r="V64" i="56"/>
  <c r="R64" i="56"/>
  <c r="AJ59" i="56"/>
  <c r="AI59" i="56"/>
  <c r="AH59" i="56"/>
  <c r="AG59" i="56"/>
  <c r="AF59" i="56"/>
  <c r="AE59" i="56"/>
  <c r="AD59" i="56"/>
  <c r="AC59" i="56"/>
  <c r="AB59" i="56"/>
  <c r="AA59" i="56"/>
  <c r="Z59" i="56"/>
  <c r="Y59" i="56"/>
  <c r="X59" i="56"/>
  <c r="W59" i="56"/>
  <c r="V59" i="56"/>
  <c r="R59" i="56"/>
  <c r="AJ58" i="56"/>
  <c r="AI58" i="56"/>
  <c r="AH58" i="56"/>
  <c r="AG58" i="56"/>
  <c r="AF58" i="56"/>
  <c r="AE58" i="56"/>
  <c r="AD58" i="56"/>
  <c r="AC58" i="56"/>
  <c r="AB58" i="56"/>
  <c r="AA58" i="56"/>
  <c r="Z58" i="56"/>
  <c r="Y58" i="56"/>
  <c r="X58" i="56"/>
  <c r="W58" i="56"/>
  <c r="V58" i="56"/>
  <c r="R58" i="56"/>
  <c r="AJ57" i="56"/>
  <c r="AI57" i="56"/>
  <c r="AH57" i="56"/>
  <c r="AG57" i="56"/>
  <c r="AF57" i="56"/>
  <c r="AE57" i="56"/>
  <c r="AD57" i="56"/>
  <c r="AC57" i="56"/>
  <c r="AB57" i="56"/>
  <c r="AA57" i="56"/>
  <c r="Z57" i="56"/>
  <c r="Y57" i="56"/>
  <c r="X57" i="56"/>
  <c r="W57" i="56"/>
  <c r="V57" i="56"/>
  <c r="R57" i="56"/>
  <c r="AJ56" i="56"/>
  <c r="AI56" i="56"/>
  <c r="AH56" i="56"/>
  <c r="AG56" i="56"/>
  <c r="AF56" i="56"/>
  <c r="AE56" i="56"/>
  <c r="AD56" i="56"/>
  <c r="AC56" i="56"/>
  <c r="AB56" i="56"/>
  <c r="AA56" i="56"/>
  <c r="Z56" i="56"/>
  <c r="Y56" i="56"/>
  <c r="X56" i="56"/>
  <c r="W56" i="56"/>
  <c r="V56" i="56"/>
  <c r="R56" i="56"/>
  <c r="AJ55" i="56"/>
  <c r="AI55" i="56"/>
  <c r="AH55" i="56"/>
  <c r="AG55" i="56"/>
  <c r="AF55" i="56"/>
  <c r="AE55" i="56"/>
  <c r="AD55" i="56"/>
  <c r="AC55" i="56"/>
  <c r="AB55" i="56"/>
  <c r="AA55" i="56"/>
  <c r="Z55" i="56"/>
  <c r="Y55" i="56"/>
  <c r="X55" i="56"/>
  <c r="W55" i="56"/>
  <c r="V55" i="56"/>
  <c r="R55" i="56"/>
  <c r="AJ54" i="56"/>
  <c r="AI54" i="56"/>
  <c r="AH54" i="56"/>
  <c r="AG54" i="56"/>
  <c r="AF54" i="56"/>
  <c r="AE54" i="56"/>
  <c r="AD54" i="56"/>
  <c r="AC54" i="56"/>
  <c r="AB54" i="56"/>
  <c r="AA54" i="56"/>
  <c r="Z54" i="56"/>
  <c r="Y54" i="56"/>
  <c r="X54" i="56"/>
  <c r="W54" i="56"/>
  <c r="V54" i="56"/>
  <c r="R54" i="56"/>
  <c r="AJ53" i="56"/>
  <c r="AI53" i="56"/>
  <c r="AH53" i="56"/>
  <c r="AG53" i="56"/>
  <c r="AF53" i="56"/>
  <c r="AE53" i="56"/>
  <c r="AD53" i="56"/>
  <c r="AC53" i="56"/>
  <c r="AB53" i="56"/>
  <c r="AA53" i="56"/>
  <c r="Z53" i="56"/>
  <c r="Y53" i="56"/>
  <c r="X53" i="56"/>
  <c r="W53" i="56"/>
  <c r="V53" i="56"/>
  <c r="R53" i="56"/>
  <c r="AJ70" i="34"/>
  <c r="AI70" i="34"/>
  <c r="AH70" i="34"/>
  <c r="AG70" i="34"/>
  <c r="AF70" i="34"/>
  <c r="AE70" i="34"/>
  <c r="AD70" i="34"/>
  <c r="AC70" i="34"/>
  <c r="AB70" i="34"/>
  <c r="AA70" i="34"/>
  <c r="Z70" i="34"/>
  <c r="Y70" i="34"/>
  <c r="X70" i="34"/>
  <c r="W70" i="34"/>
  <c r="V70" i="34"/>
  <c r="R70" i="34"/>
  <c r="AJ69" i="34"/>
  <c r="AI69" i="34"/>
  <c r="AH69" i="34"/>
  <c r="AG69" i="34"/>
  <c r="AF69" i="34"/>
  <c r="AE69" i="34"/>
  <c r="AD69" i="34"/>
  <c r="AC69" i="34"/>
  <c r="AB69" i="34"/>
  <c r="AA69" i="34"/>
  <c r="Z69" i="34"/>
  <c r="Y69" i="34"/>
  <c r="X69" i="34"/>
  <c r="W69" i="34"/>
  <c r="V69" i="34"/>
  <c r="R69" i="34"/>
  <c r="AJ68" i="34"/>
  <c r="AI68" i="34"/>
  <c r="AH68" i="34"/>
  <c r="AG68" i="34"/>
  <c r="AF68" i="34"/>
  <c r="AE68" i="34"/>
  <c r="AD68" i="34"/>
  <c r="AC68" i="34"/>
  <c r="AB68" i="34"/>
  <c r="AA68" i="34"/>
  <c r="Z68" i="34"/>
  <c r="Y68" i="34"/>
  <c r="X68" i="34"/>
  <c r="W68" i="34"/>
  <c r="V68" i="34"/>
  <c r="R68" i="34"/>
  <c r="AJ67" i="34"/>
  <c r="AI67" i="34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R67" i="34"/>
  <c r="AJ66" i="34"/>
  <c r="AI66" i="34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R66" i="34"/>
  <c r="AJ65" i="34"/>
  <c r="AI65" i="34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R65" i="34"/>
  <c r="AJ64" i="34"/>
  <c r="AI64" i="34"/>
  <c r="AH64" i="34"/>
  <c r="AG64" i="34"/>
  <c r="AF64" i="34"/>
  <c r="AE64" i="34"/>
  <c r="AD64" i="34"/>
  <c r="AC64" i="34"/>
  <c r="AB64" i="34"/>
  <c r="AA64" i="34"/>
  <c r="Z64" i="34"/>
  <c r="Y64" i="34"/>
  <c r="X64" i="34"/>
  <c r="W64" i="34"/>
  <c r="V64" i="34"/>
  <c r="R64" i="34"/>
  <c r="AJ59" i="34"/>
  <c r="AI59" i="34"/>
  <c r="AH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R59" i="34"/>
  <c r="AJ58" i="34"/>
  <c r="AI58" i="34"/>
  <c r="AH58" i="34"/>
  <c r="AG58" i="34"/>
  <c r="AF58" i="34"/>
  <c r="AE58" i="34"/>
  <c r="AD58" i="34"/>
  <c r="AC58" i="34"/>
  <c r="AB58" i="34"/>
  <c r="AA58" i="34"/>
  <c r="Z58" i="34"/>
  <c r="Y58" i="34"/>
  <c r="X58" i="34"/>
  <c r="W58" i="34"/>
  <c r="V58" i="34"/>
  <c r="R58" i="34"/>
  <c r="AJ57" i="34"/>
  <c r="AI57" i="34"/>
  <c r="AH57" i="34"/>
  <c r="AG57" i="34"/>
  <c r="AF57" i="34"/>
  <c r="AE57" i="34"/>
  <c r="AD57" i="34"/>
  <c r="AC57" i="34"/>
  <c r="AB57" i="34"/>
  <c r="AA57" i="34"/>
  <c r="Z57" i="34"/>
  <c r="Y57" i="34"/>
  <c r="X57" i="34"/>
  <c r="W57" i="34"/>
  <c r="V57" i="34"/>
  <c r="R57" i="34"/>
  <c r="AJ56" i="34"/>
  <c r="AI56" i="34"/>
  <c r="AH56" i="34"/>
  <c r="AG56" i="34"/>
  <c r="AF56" i="34"/>
  <c r="AE56" i="34"/>
  <c r="AD56" i="34"/>
  <c r="AC56" i="34"/>
  <c r="AB56" i="34"/>
  <c r="AA56" i="34"/>
  <c r="Z56" i="34"/>
  <c r="Y56" i="34"/>
  <c r="X56" i="34"/>
  <c r="W56" i="34"/>
  <c r="V56" i="34"/>
  <c r="R56" i="34"/>
  <c r="AJ55" i="34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R55" i="34"/>
  <c r="AJ54" i="34"/>
  <c r="AI54" i="34"/>
  <c r="AH54" i="34"/>
  <c r="AG54" i="34"/>
  <c r="AF54" i="34"/>
  <c r="AE54" i="34"/>
  <c r="AD54" i="34"/>
  <c r="AC54" i="34"/>
  <c r="AB54" i="34"/>
  <c r="AA54" i="34"/>
  <c r="Z54" i="34"/>
  <c r="Y54" i="34"/>
  <c r="X54" i="34"/>
  <c r="W54" i="34"/>
  <c r="V54" i="34"/>
  <c r="R54" i="34"/>
  <c r="AJ53" i="34"/>
  <c r="AI53" i="34"/>
  <c r="AH53" i="34"/>
  <c r="AG53" i="34"/>
  <c r="AF53" i="34"/>
  <c r="AE53" i="34"/>
  <c r="AD53" i="34"/>
  <c r="AC53" i="34"/>
  <c r="AB53" i="34"/>
  <c r="AA53" i="34"/>
  <c r="Z53" i="34"/>
  <c r="Y53" i="34"/>
  <c r="X53" i="34"/>
  <c r="W53" i="34"/>
  <c r="V53" i="34"/>
  <c r="R53" i="34"/>
  <c r="N33" i="73"/>
  <c r="W33" i="73" s="1"/>
  <c r="M33" i="73"/>
  <c r="V33" i="73" s="1"/>
  <c r="AE33" i="73" s="1"/>
  <c r="AF85" i="73" s="1"/>
  <c r="AB191" i="81" s="1"/>
  <c r="L33" i="73"/>
  <c r="Q33" i="73" s="1"/>
  <c r="K33" i="73"/>
  <c r="N32" i="73"/>
  <c r="W32" i="73" s="1"/>
  <c r="M32" i="73"/>
  <c r="V32" i="73" s="1"/>
  <c r="AE32" i="73" s="1"/>
  <c r="AF84" i="73" s="1"/>
  <c r="AB190" i="81" s="1"/>
  <c r="L32" i="73"/>
  <c r="K32" i="73"/>
  <c r="U31" i="73"/>
  <c r="AD31" i="73" s="1"/>
  <c r="AE83" i="73" s="1"/>
  <c r="AA189" i="81" s="1"/>
  <c r="AH189" i="81" s="1"/>
  <c r="N31" i="73"/>
  <c r="W31" i="73" s="1"/>
  <c r="AF31" i="73" s="1"/>
  <c r="AG83" i="73" s="1"/>
  <c r="AC189" i="81" s="1"/>
  <c r="AJ189" i="81" s="1"/>
  <c r="M31" i="73"/>
  <c r="V31" i="73" s="1"/>
  <c r="AE31" i="73" s="1"/>
  <c r="AF83" i="73" s="1"/>
  <c r="AB189" i="81" s="1"/>
  <c r="AI189" i="81" s="1"/>
  <c r="L31" i="73"/>
  <c r="K31" i="73"/>
  <c r="N30" i="73"/>
  <c r="W30" i="73" s="1"/>
  <c r="AF30" i="73" s="1"/>
  <c r="AG82" i="73" s="1"/>
  <c r="AC188" i="81" s="1"/>
  <c r="AJ188" i="81" s="1"/>
  <c r="M30" i="73"/>
  <c r="L30" i="73"/>
  <c r="K30" i="73"/>
  <c r="O30" i="73" s="1"/>
  <c r="N29" i="73"/>
  <c r="W29" i="73" s="1"/>
  <c r="AF29" i="73" s="1"/>
  <c r="AG81" i="73" s="1"/>
  <c r="AC187" i="81" s="1"/>
  <c r="AJ187" i="81" s="1"/>
  <c r="M29" i="73"/>
  <c r="L29" i="73"/>
  <c r="P29" i="73" s="1"/>
  <c r="K29" i="73"/>
  <c r="N28" i="73"/>
  <c r="W28" i="73" s="1"/>
  <c r="AF28" i="73" s="1"/>
  <c r="AG80" i="73" s="1"/>
  <c r="AC186" i="81" s="1"/>
  <c r="AJ186" i="81" s="1"/>
  <c r="M28" i="73"/>
  <c r="V28" i="73" s="1"/>
  <c r="AE28" i="73" s="1"/>
  <c r="AF80" i="73" s="1"/>
  <c r="AB186" i="81" s="1"/>
  <c r="AI186" i="81" s="1"/>
  <c r="L28" i="73"/>
  <c r="K28" i="73"/>
  <c r="U27" i="73"/>
  <c r="AD27" i="73" s="1"/>
  <c r="AE79" i="73" s="1"/>
  <c r="AA185" i="81" s="1"/>
  <c r="AH185" i="81" s="1"/>
  <c r="N27" i="73"/>
  <c r="W27" i="73" s="1"/>
  <c r="AF27" i="73" s="1"/>
  <c r="AG79" i="73" s="1"/>
  <c r="AC185" i="81" s="1"/>
  <c r="AJ185" i="81" s="1"/>
  <c r="M27" i="73"/>
  <c r="V27" i="73" s="1"/>
  <c r="AE27" i="73" s="1"/>
  <c r="AF79" i="73" s="1"/>
  <c r="AB185" i="81" s="1"/>
  <c r="AI185" i="81" s="1"/>
  <c r="L27" i="73"/>
  <c r="K27" i="73"/>
  <c r="N26" i="73"/>
  <c r="M26" i="73"/>
  <c r="L26" i="73"/>
  <c r="K26" i="73"/>
  <c r="O26" i="73" s="1"/>
  <c r="N25" i="73"/>
  <c r="W25" i="73" s="1"/>
  <c r="M25" i="73"/>
  <c r="L25" i="73"/>
  <c r="P25" i="73" s="1"/>
  <c r="K25" i="73"/>
  <c r="N24" i="73"/>
  <c r="W24" i="73" s="1"/>
  <c r="AF24" i="73" s="1"/>
  <c r="AG76" i="73" s="1"/>
  <c r="AC182" i="81" s="1"/>
  <c r="AJ182" i="81" s="1"/>
  <c r="M24" i="73"/>
  <c r="V24" i="73" s="1"/>
  <c r="AE24" i="73" s="1"/>
  <c r="AF76" i="73" s="1"/>
  <c r="AB182" i="81" s="1"/>
  <c r="L24" i="73"/>
  <c r="U24" i="73" s="1"/>
  <c r="AD24" i="73" s="1"/>
  <c r="AE76" i="73" s="1"/>
  <c r="AA182" i="81" s="1"/>
  <c r="AH182" i="81" s="1"/>
  <c r="K24" i="73"/>
  <c r="U23" i="73"/>
  <c r="AD23" i="73" s="1"/>
  <c r="AE75" i="73" s="1"/>
  <c r="AA181" i="81" s="1"/>
  <c r="AH181" i="81" s="1"/>
  <c r="N23" i="73"/>
  <c r="W23" i="73" s="1"/>
  <c r="AF23" i="73" s="1"/>
  <c r="AG75" i="73" s="1"/>
  <c r="AC181" i="81" s="1"/>
  <c r="AJ181" i="81" s="1"/>
  <c r="M23" i="73"/>
  <c r="V23" i="73" s="1"/>
  <c r="AE23" i="73" s="1"/>
  <c r="AF75" i="73" s="1"/>
  <c r="AB181" i="81" s="1"/>
  <c r="AI181" i="81" s="1"/>
  <c r="L23" i="73"/>
  <c r="K23" i="73"/>
  <c r="T23" i="73" s="1"/>
  <c r="N22" i="73"/>
  <c r="W22" i="73" s="1"/>
  <c r="M22" i="73"/>
  <c r="L22" i="73"/>
  <c r="K22" i="73"/>
  <c r="K36" i="73" s="1"/>
  <c r="E115" i="67"/>
  <c r="Q32" i="81" s="1"/>
  <c r="E109" i="67"/>
  <c r="Q26" i="81" s="1"/>
  <c r="E108" i="67"/>
  <c r="Q25" i="81" s="1"/>
  <c r="E107" i="67"/>
  <c r="Q24" i="81" s="1"/>
  <c r="E106" i="67"/>
  <c r="Q23" i="81" s="1"/>
  <c r="E115" i="63"/>
  <c r="E32" i="81" s="1"/>
  <c r="E114" i="63"/>
  <c r="E31" i="81" s="1"/>
  <c r="E111" i="63"/>
  <c r="E28" i="81" s="1"/>
  <c r="E110" i="63"/>
  <c r="E27" i="81" s="1"/>
  <c r="E109" i="63"/>
  <c r="E26" i="81" s="1"/>
  <c r="E107" i="63"/>
  <c r="E24" i="81" s="1"/>
  <c r="E106" i="63"/>
  <c r="E23" i="81" s="1"/>
  <c r="E106" i="65"/>
  <c r="E115" i="65"/>
  <c r="E114" i="65"/>
  <c r="E110" i="65"/>
  <c r="E109" i="65"/>
  <c r="E107" i="65"/>
  <c r="AI182" i="81" l="1"/>
  <c r="V194" i="81"/>
  <c r="T26" i="73"/>
  <c r="K31" i="81"/>
  <c r="M114" i="65"/>
  <c r="R114" i="65"/>
  <c r="M37" i="73"/>
  <c r="P26" i="73"/>
  <c r="Q29" i="73"/>
  <c r="O31" i="73"/>
  <c r="AK54" i="43"/>
  <c r="AK58" i="43"/>
  <c r="K24" i="81"/>
  <c r="R107" i="65"/>
  <c r="M107" i="65"/>
  <c r="K32" i="81"/>
  <c r="R115" i="65"/>
  <c r="M115" i="65"/>
  <c r="Q22" i="73"/>
  <c r="O24" i="73"/>
  <c r="Q26" i="73"/>
  <c r="O28" i="73"/>
  <c r="Q30" i="73"/>
  <c r="O32" i="73"/>
  <c r="K26" i="81"/>
  <c r="R109" i="65"/>
  <c r="M109" i="65"/>
  <c r="T22" i="73"/>
  <c r="AC22" i="73" s="1"/>
  <c r="T30" i="73"/>
  <c r="AC30" i="73" s="1"/>
  <c r="AD82" i="73" s="1"/>
  <c r="Z188" i="81" s="1"/>
  <c r="K27" i="81"/>
  <c r="R110" i="65"/>
  <c r="M110" i="65"/>
  <c r="L36" i="73"/>
  <c r="O27" i="73"/>
  <c r="P30" i="73"/>
  <c r="K23" i="81"/>
  <c r="R106" i="65"/>
  <c r="M106" i="65"/>
  <c r="O25" i="73"/>
  <c r="N37" i="73"/>
  <c r="P28" i="73"/>
  <c r="O29" i="73"/>
  <c r="P32" i="73"/>
  <c r="O33" i="73"/>
  <c r="T33" i="73"/>
  <c r="Z33" i="73" s="1"/>
  <c r="AH164" i="81"/>
  <c r="AH176" i="81" s="1"/>
  <c r="AQ149" i="81"/>
  <c r="AG176" i="81"/>
  <c r="AO149" i="81"/>
  <c r="AN149" i="81"/>
  <c r="AI190" i="81"/>
  <c r="AB195" i="81"/>
  <c r="AI191" i="81"/>
  <c r="AK65" i="43"/>
  <c r="AK54" i="56"/>
  <c r="AK56" i="56"/>
  <c r="AK58" i="56"/>
  <c r="AK64" i="56"/>
  <c r="AK70" i="56"/>
  <c r="AK53" i="38"/>
  <c r="AK57" i="38"/>
  <c r="AK58" i="38"/>
  <c r="AK65" i="38"/>
  <c r="AK66" i="38"/>
  <c r="AK69" i="38"/>
  <c r="AK70" i="38"/>
  <c r="AK66" i="56"/>
  <c r="AK68" i="56"/>
  <c r="AK53" i="43"/>
  <c r="AK57" i="43"/>
  <c r="AK64" i="43"/>
  <c r="AK68" i="43"/>
  <c r="AK59" i="43"/>
  <c r="AK56" i="43"/>
  <c r="AK63" i="43"/>
  <c r="AK67" i="43"/>
  <c r="AK55" i="43"/>
  <c r="AK69" i="43"/>
  <c r="AK66" i="43"/>
  <c r="AK54" i="38"/>
  <c r="AK55" i="38"/>
  <c r="AK56" i="38"/>
  <c r="AK59" i="38"/>
  <c r="AK64" i="38"/>
  <c r="AK67" i="38"/>
  <c r="AK68" i="38"/>
  <c r="AK53" i="56"/>
  <c r="AK57" i="56"/>
  <c r="AK65" i="56"/>
  <c r="AK69" i="56"/>
  <c r="AK55" i="56"/>
  <c r="AK59" i="56"/>
  <c r="AK67" i="56"/>
  <c r="AK55" i="34"/>
  <c r="AK56" i="34"/>
  <c r="AK59" i="34"/>
  <c r="AK64" i="34"/>
  <c r="AK67" i="34"/>
  <c r="AK68" i="34"/>
  <c r="AK53" i="34"/>
  <c r="AK54" i="34"/>
  <c r="AK57" i="34"/>
  <c r="AK58" i="34"/>
  <c r="AK65" i="34"/>
  <c r="AK66" i="34"/>
  <c r="AK69" i="34"/>
  <c r="AK70" i="34"/>
  <c r="AF22" i="73"/>
  <c r="W36" i="73"/>
  <c r="O37" i="73"/>
  <c r="X23" i="73"/>
  <c r="AC23" i="73"/>
  <c r="Z23" i="73"/>
  <c r="Y23" i="73"/>
  <c r="O23" i="73"/>
  <c r="P24" i="73"/>
  <c r="Q25" i="73"/>
  <c r="O22" i="73"/>
  <c r="U22" i="73"/>
  <c r="P23" i="73"/>
  <c r="Q24" i="73"/>
  <c r="T25" i="73"/>
  <c r="U26" i="73"/>
  <c r="AD26" i="73" s="1"/>
  <c r="AE78" i="73" s="1"/>
  <c r="AA184" i="81" s="1"/>
  <c r="AH184" i="81" s="1"/>
  <c r="P27" i="73"/>
  <c r="Q28" i="73"/>
  <c r="T29" i="73"/>
  <c r="U30" i="73"/>
  <c r="AD30" i="73" s="1"/>
  <c r="AE82" i="73" s="1"/>
  <c r="AA188" i="81" s="1"/>
  <c r="AH188" i="81" s="1"/>
  <c r="P31" i="73"/>
  <c r="Q32" i="73"/>
  <c r="U33" i="73"/>
  <c r="AD33" i="73" s="1"/>
  <c r="AE85" i="73" s="1"/>
  <c r="AA191" i="81" s="1"/>
  <c r="AH191" i="81" s="1"/>
  <c r="M34" i="73"/>
  <c r="M36" i="73"/>
  <c r="K37" i="73"/>
  <c r="P22" i="73"/>
  <c r="P36" i="73" s="1"/>
  <c r="V22" i="73"/>
  <c r="Y22" i="73" s="1"/>
  <c r="Q23" i="73"/>
  <c r="T24" i="73"/>
  <c r="U25" i="73"/>
  <c r="V26" i="73"/>
  <c r="AE26" i="73" s="1"/>
  <c r="AF78" i="73" s="1"/>
  <c r="AB184" i="81" s="1"/>
  <c r="AI184" i="81" s="1"/>
  <c r="Q27" i="73"/>
  <c r="T28" i="73"/>
  <c r="U29" i="73"/>
  <c r="AD29" i="73" s="1"/>
  <c r="AE81" i="73" s="1"/>
  <c r="AA187" i="81" s="1"/>
  <c r="AH187" i="81" s="1"/>
  <c r="V30" i="73"/>
  <c r="AE30" i="73" s="1"/>
  <c r="AF82" i="73" s="1"/>
  <c r="AB188" i="81" s="1"/>
  <c r="AI188" i="81" s="1"/>
  <c r="Q31" i="73"/>
  <c r="T32" i="73"/>
  <c r="P33" i="73"/>
  <c r="N34" i="73"/>
  <c r="N36" i="73"/>
  <c r="L37" i="73"/>
  <c r="V25" i="73"/>
  <c r="AF25" i="73"/>
  <c r="AG77" i="73" s="1"/>
  <c r="AC183" i="81" s="1"/>
  <c r="AJ183" i="81" s="1"/>
  <c r="W26" i="73"/>
  <c r="AF26" i="73" s="1"/>
  <c r="AG78" i="73" s="1"/>
  <c r="AC184" i="81" s="1"/>
  <c r="AJ184" i="81" s="1"/>
  <c r="AC26" i="73"/>
  <c r="T27" i="73"/>
  <c r="U28" i="73"/>
  <c r="AD28" i="73" s="1"/>
  <c r="AE80" i="73" s="1"/>
  <c r="AA186" i="81" s="1"/>
  <c r="AH186" i="81" s="1"/>
  <c r="V29" i="73"/>
  <c r="AE29" i="73" s="1"/>
  <c r="AF81" i="73" s="1"/>
  <c r="AB187" i="81" s="1"/>
  <c r="AI187" i="81" s="1"/>
  <c r="T31" i="73"/>
  <c r="U32" i="73"/>
  <c r="AD32" i="73" s="1"/>
  <c r="AE84" i="73" s="1"/>
  <c r="AA190" i="81" s="1"/>
  <c r="AH190" i="81" s="1"/>
  <c r="K34" i="73"/>
  <c r="L34" i="73"/>
  <c r="E103" i="73"/>
  <c r="D103" i="73"/>
  <c r="C103" i="73"/>
  <c r="B103" i="73"/>
  <c r="E86" i="73"/>
  <c r="D86" i="73"/>
  <c r="C86" i="73"/>
  <c r="B86" i="73"/>
  <c r="E18" i="73"/>
  <c r="D18" i="73"/>
  <c r="C18" i="73"/>
  <c r="B18" i="73"/>
  <c r="E17" i="73"/>
  <c r="D17" i="73"/>
  <c r="C17" i="73"/>
  <c r="B17" i="73"/>
  <c r="E15" i="73"/>
  <c r="D15" i="73"/>
  <c r="C15" i="73"/>
  <c r="B15" i="73"/>
  <c r="H14" i="73"/>
  <c r="G14" i="73"/>
  <c r="F14" i="73"/>
  <c r="H13" i="73"/>
  <c r="G13" i="73"/>
  <c r="F13" i="73"/>
  <c r="H12" i="73"/>
  <c r="G12" i="73"/>
  <c r="F12" i="73"/>
  <c r="H11" i="73"/>
  <c r="G11" i="73"/>
  <c r="F11" i="73"/>
  <c r="H10" i="73"/>
  <c r="G10" i="73"/>
  <c r="F10" i="73"/>
  <c r="H9" i="73"/>
  <c r="G9" i="73"/>
  <c r="F9" i="73"/>
  <c r="H8" i="73"/>
  <c r="G8" i="73"/>
  <c r="F8" i="73"/>
  <c r="H7" i="73"/>
  <c r="G7" i="73"/>
  <c r="F7" i="73"/>
  <c r="H6" i="73"/>
  <c r="G6" i="73"/>
  <c r="F6" i="73"/>
  <c r="H5" i="73"/>
  <c r="G5" i="73"/>
  <c r="F5" i="73"/>
  <c r="H4" i="73"/>
  <c r="G4" i="73"/>
  <c r="F4" i="73"/>
  <c r="H3" i="73"/>
  <c r="G3" i="73"/>
  <c r="F3" i="73"/>
  <c r="AC33" i="73" l="1"/>
  <c r="Z30" i="73"/>
  <c r="Q36" i="73"/>
  <c r="X22" i="73"/>
  <c r="O36" i="73"/>
  <c r="F17" i="73"/>
  <c r="F18" i="73"/>
  <c r="Z22" i="73"/>
  <c r="P37" i="73"/>
  <c r="T34" i="73"/>
  <c r="Y33" i="73"/>
  <c r="Y30" i="73"/>
  <c r="AG30" i="73"/>
  <c r="AD85" i="73"/>
  <c r="Z191" i="81" s="1"/>
  <c r="AG33" i="73"/>
  <c r="T36" i="73"/>
  <c r="Z26" i="73"/>
  <c r="Y26" i="73"/>
  <c r="X30" i="73"/>
  <c r="X33" i="73"/>
  <c r="X27" i="73"/>
  <c r="AC27" i="73"/>
  <c r="Z27" i="73"/>
  <c r="Y27" i="73"/>
  <c r="V37" i="73"/>
  <c r="AE25" i="73"/>
  <c r="AF77" i="73" s="1"/>
  <c r="AB183" i="81" s="1"/>
  <c r="AI183" i="81" s="1"/>
  <c r="Z32" i="73"/>
  <c r="Y32" i="73"/>
  <c r="X32" i="73"/>
  <c r="AC32" i="73"/>
  <c r="Z29" i="73"/>
  <c r="Y29" i="73"/>
  <c r="X29" i="73"/>
  <c r="AC29" i="73"/>
  <c r="Q37" i="73"/>
  <c r="W37" i="73"/>
  <c r="AD75" i="73"/>
  <c r="Z181" i="81" s="1"/>
  <c r="AG23" i="73"/>
  <c r="X26" i="73"/>
  <c r="Y31" i="73"/>
  <c r="X31" i="73"/>
  <c r="AC31" i="73"/>
  <c r="Z31" i="73"/>
  <c r="AD78" i="73"/>
  <c r="Z184" i="81" s="1"/>
  <c r="AG26" i="73"/>
  <c r="AD74" i="73"/>
  <c r="Z180" i="81" s="1"/>
  <c r="Z28" i="73"/>
  <c r="Y28" i="73"/>
  <c r="X28" i="73"/>
  <c r="AC28" i="73"/>
  <c r="U37" i="73"/>
  <c r="AD25" i="73"/>
  <c r="AE77" i="73" s="1"/>
  <c r="AA183" i="81" s="1"/>
  <c r="AH183" i="81" s="1"/>
  <c r="V36" i="73"/>
  <c r="V34" i="73"/>
  <c r="AE22" i="73"/>
  <c r="T37" i="73"/>
  <c r="Z25" i="73"/>
  <c r="Y25" i="73"/>
  <c r="X25" i="73"/>
  <c r="AC25" i="73"/>
  <c r="U34" i="73"/>
  <c r="U36" i="73"/>
  <c r="AD22" i="73"/>
  <c r="AG74" i="73"/>
  <c r="AF34" i="73"/>
  <c r="Y24" i="73"/>
  <c r="Y36" i="73" s="1"/>
  <c r="X24" i="73"/>
  <c r="AC24" i="73"/>
  <c r="Z24" i="73"/>
  <c r="Z36" i="73" s="1"/>
  <c r="W34" i="73"/>
  <c r="D120" i="69"/>
  <c r="B114" i="67"/>
  <c r="B113" i="67"/>
  <c r="B112" i="67"/>
  <c r="B111" i="67"/>
  <c r="B110" i="67"/>
  <c r="D117" i="65"/>
  <c r="D113" i="65"/>
  <c r="D112" i="65"/>
  <c r="D111" i="65"/>
  <c r="B113" i="65"/>
  <c r="B112" i="65"/>
  <c r="B108" i="65"/>
  <c r="B113" i="63"/>
  <c r="B112" i="63"/>
  <c r="B108" i="63"/>
  <c r="L33" i="50"/>
  <c r="L52" i="50" s="1"/>
  <c r="AA159" i="81" s="1"/>
  <c r="K32" i="50"/>
  <c r="K31" i="50"/>
  <c r="K30" i="50"/>
  <c r="K29" i="50"/>
  <c r="K28" i="50"/>
  <c r="K27" i="50"/>
  <c r="K26" i="50"/>
  <c r="K25" i="50"/>
  <c r="K24" i="50"/>
  <c r="K23" i="50"/>
  <c r="K22" i="50"/>
  <c r="T14" i="50"/>
  <c r="X14" i="50" s="1"/>
  <c r="M14" i="50"/>
  <c r="L14" i="50"/>
  <c r="K14" i="50"/>
  <c r="Q14" i="50" s="1"/>
  <c r="O13" i="50"/>
  <c r="M13" i="50"/>
  <c r="L13" i="50"/>
  <c r="K13" i="50"/>
  <c r="Q13" i="50" s="1"/>
  <c r="U12" i="50"/>
  <c r="N12" i="50"/>
  <c r="M12" i="50"/>
  <c r="L12" i="50"/>
  <c r="K12" i="50"/>
  <c r="P12" i="50" s="1"/>
  <c r="U11" i="50"/>
  <c r="N11" i="50"/>
  <c r="M11" i="50"/>
  <c r="L11" i="50"/>
  <c r="K11" i="50"/>
  <c r="P11" i="50" s="1"/>
  <c r="T10" i="50"/>
  <c r="X10" i="50" s="1"/>
  <c r="N10" i="50"/>
  <c r="M10" i="50"/>
  <c r="L10" i="50"/>
  <c r="K10" i="50"/>
  <c r="O10" i="50" s="1"/>
  <c r="T9" i="50"/>
  <c r="Z9" i="50" s="1"/>
  <c r="N9" i="50"/>
  <c r="M9" i="50"/>
  <c r="L9" i="50"/>
  <c r="K9" i="50"/>
  <c r="P9" i="50" s="1"/>
  <c r="W8" i="50"/>
  <c r="N8" i="50"/>
  <c r="M8" i="50"/>
  <c r="L8" i="50"/>
  <c r="K8" i="50"/>
  <c r="Q8" i="50" s="1"/>
  <c r="W7" i="50"/>
  <c r="N7" i="50"/>
  <c r="M7" i="50"/>
  <c r="L7" i="50"/>
  <c r="K7" i="50"/>
  <c r="P7" i="50" s="1"/>
  <c r="N6" i="50"/>
  <c r="M6" i="50"/>
  <c r="L6" i="50"/>
  <c r="K6" i="50"/>
  <c r="P6" i="50" s="1"/>
  <c r="N5" i="50"/>
  <c r="M5" i="50"/>
  <c r="L5" i="50"/>
  <c r="K5" i="50"/>
  <c r="P5" i="50" s="1"/>
  <c r="U4" i="50"/>
  <c r="N4" i="50"/>
  <c r="M4" i="50"/>
  <c r="L4" i="50"/>
  <c r="K4" i="50"/>
  <c r="Q4" i="50" s="1"/>
  <c r="U3" i="50"/>
  <c r="U15" i="50" s="1"/>
  <c r="N3" i="50"/>
  <c r="N15" i="50" s="1"/>
  <c r="M3" i="50"/>
  <c r="M15" i="50" s="1"/>
  <c r="L3" i="50"/>
  <c r="L15" i="50" s="1"/>
  <c r="K3" i="50"/>
  <c r="P3" i="50" s="1"/>
  <c r="E69" i="50"/>
  <c r="D69" i="50"/>
  <c r="V14" i="50" s="1"/>
  <c r="C69" i="50"/>
  <c r="U14" i="50" s="1"/>
  <c r="B69" i="50"/>
  <c r="K33" i="50" s="1"/>
  <c r="E68" i="50"/>
  <c r="D68" i="50"/>
  <c r="V13" i="50" s="1"/>
  <c r="C68" i="50"/>
  <c r="U13" i="50" s="1"/>
  <c r="B68" i="50"/>
  <c r="T13" i="50" s="1"/>
  <c r="X13" i="50" s="1"/>
  <c r="E67" i="50"/>
  <c r="N31" i="50" s="1"/>
  <c r="N50" i="50" s="1"/>
  <c r="AC157" i="81" s="1"/>
  <c r="D67" i="50"/>
  <c r="M31" i="50" s="1"/>
  <c r="M50" i="50" s="1"/>
  <c r="AB157" i="81" s="1"/>
  <c r="C67" i="50"/>
  <c r="L31" i="50" s="1"/>
  <c r="L50" i="50" s="1"/>
  <c r="AA157" i="81" s="1"/>
  <c r="B67" i="50"/>
  <c r="T12" i="50" s="1"/>
  <c r="E66" i="50"/>
  <c r="N30" i="50" s="1"/>
  <c r="N49" i="50" s="1"/>
  <c r="AC156" i="81" s="1"/>
  <c r="D66" i="50"/>
  <c r="M30" i="50" s="1"/>
  <c r="C66" i="50"/>
  <c r="L30" i="50" s="1"/>
  <c r="L49" i="50" s="1"/>
  <c r="AA156" i="81" s="1"/>
  <c r="B66" i="50"/>
  <c r="T11" i="50" s="1"/>
  <c r="Z11" i="50" s="1"/>
  <c r="E65" i="50"/>
  <c r="N29" i="50" s="1"/>
  <c r="N48" i="50" s="1"/>
  <c r="AC155" i="81" s="1"/>
  <c r="D65" i="50"/>
  <c r="M29" i="50" s="1"/>
  <c r="M48" i="50" s="1"/>
  <c r="AB155" i="81" s="1"/>
  <c r="C65" i="50"/>
  <c r="L29" i="50" s="1"/>
  <c r="B65" i="50"/>
  <c r="E64" i="50"/>
  <c r="N28" i="50" s="1"/>
  <c r="N47" i="50" s="1"/>
  <c r="AC154" i="81" s="1"/>
  <c r="D64" i="50"/>
  <c r="M28" i="50" s="1"/>
  <c r="M47" i="50" s="1"/>
  <c r="AB154" i="81" s="1"/>
  <c r="C64" i="50"/>
  <c r="L28" i="50" s="1"/>
  <c r="L47" i="50" s="1"/>
  <c r="AA154" i="81" s="1"/>
  <c r="B64" i="50"/>
  <c r="E63" i="50"/>
  <c r="N27" i="50" s="1"/>
  <c r="N46" i="50" s="1"/>
  <c r="AC153" i="81" s="1"/>
  <c r="D63" i="50"/>
  <c r="V8" i="50" s="1"/>
  <c r="C63" i="50"/>
  <c r="U8" i="50" s="1"/>
  <c r="B63" i="50"/>
  <c r="T8" i="50" s="1"/>
  <c r="E62" i="50"/>
  <c r="N26" i="50" s="1"/>
  <c r="N45" i="50" s="1"/>
  <c r="AC152" i="81" s="1"/>
  <c r="D62" i="50"/>
  <c r="V7" i="50" s="1"/>
  <c r="C62" i="50"/>
  <c r="U7" i="50" s="1"/>
  <c r="B62" i="50"/>
  <c r="T7" i="50" s="1"/>
  <c r="Z7" i="50" s="1"/>
  <c r="E61" i="50"/>
  <c r="N25" i="50" s="1"/>
  <c r="N44" i="50" s="1"/>
  <c r="AC151" i="81" s="1"/>
  <c r="D61" i="50"/>
  <c r="M25" i="50" s="1"/>
  <c r="M44" i="50" s="1"/>
  <c r="AB151" i="81" s="1"/>
  <c r="C61" i="50"/>
  <c r="U6" i="50" s="1"/>
  <c r="B61" i="50"/>
  <c r="T6" i="50" s="1"/>
  <c r="E60" i="50"/>
  <c r="N24" i="50" s="1"/>
  <c r="N43" i="50" s="1"/>
  <c r="AC150" i="81" s="1"/>
  <c r="D60" i="50"/>
  <c r="M24" i="50" s="1"/>
  <c r="M43" i="50" s="1"/>
  <c r="AB150" i="81" s="1"/>
  <c r="C60" i="50"/>
  <c r="U5" i="50" s="1"/>
  <c r="B60" i="50"/>
  <c r="T5" i="50" s="1"/>
  <c r="Z5" i="50" s="1"/>
  <c r="E59" i="50"/>
  <c r="N23" i="50" s="1"/>
  <c r="N42" i="50" s="1"/>
  <c r="AC149" i="81" s="1"/>
  <c r="D59" i="50"/>
  <c r="M23" i="50" s="1"/>
  <c r="M42" i="50" s="1"/>
  <c r="AB149" i="81" s="1"/>
  <c r="C59" i="50"/>
  <c r="L23" i="50" s="1"/>
  <c r="L42" i="50" s="1"/>
  <c r="AA149" i="81" s="1"/>
  <c r="B59" i="50"/>
  <c r="T4" i="50" s="1"/>
  <c r="E58" i="50"/>
  <c r="E70" i="50" s="1"/>
  <c r="D58" i="50"/>
  <c r="D70" i="50" s="1"/>
  <c r="C58" i="50"/>
  <c r="C70" i="50" s="1"/>
  <c r="B58" i="50"/>
  <c r="B70" i="50" s="1"/>
  <c r="K32" i="69"/>
  <c r="K51" i="69" s="1"/>
  <c r="T158" i="81" s="1"/>
  <c r="K28" i="69"/>
  <c r="K47" i="69" s="1"/>
  <c r="T154" i="81" s="1"/>
  <c r="K26" i="69"/>
  <c r="K45" i="69" s="1"/>
  <c r="T152" i="81" s="1"/>
  <c r="K24" i="69"/>
  <c r="K43" i="69" s="1"/>
  <c r="T150" i="81" s="1"/>
  <c r="Z5" i="69"/>
  <c r="Q5" i="69"/>
  <c r="P5" i="69"/>
  <c r="L15" i="69"/>
  <c r="H117" i="69"/>
  <c r="H116" i="69"/>
  <c r="G116" i="69"/>
  <c r="H115" i="69"/>
  <c r="F115" i="69"/>
  <c r="F114" i="69"/>
  <c r="H113" i="69"/>
  <c r="H112" i="69"/>
  <c r="G112" i="69"/>
  <c r="G111" i="69"/>
  <c r="F111" i="69"/>
  <c r="H110" i="69"/>
  <c r="E121" i="69"/>
  <c r="C121" i="69"/>
  <c r="H109" i="69"/>
  <c r="H108" i="69"/>
  <c r="G108" i="69"/>
  <c r="H107" i="69"/>
  <c r="F107" i="69"/>
  <c r="E120" i="69"/>
  <c r="C118" i="69"/>
  <c r="U35" i="81" s="1"/>
  <c r="B120" i="69"/>
  <c r="H117" i="67"/>
  <c r="G116" i="67"/>
  <c r="F116" i="67"/>
  <c r="F115" i="67"/>
  <c r="C121" i="67"/>
  <c r="D121" i="67"/>
  <c r="H109" i="67"/>
  <c r="G108" i="67"/>
  <c r="F108" i="67"/>
  <c r="F107" i="67"/>
  <c r="E120" i="67"/>
  <c r="D120" i="67"/>
  <c r="C120" i="67"/>
  <c r="H106" i="67"/>
  <c r="H117" i="65"/>
  <c r="G116" i="65"/>
  <c r="F116" i="65"/>
  <c r="S116" i="65" s="1"/>
  <c r="F115" i="65"/>
  <c r="S115" i="65" s="1"/>
  <c r="G114" i="65"/>
  <c r="H114" i="65"/>
  <c r="G110" i="65"/>
  <c r="H110" i="65"/>
  <c r="C121" i="65"/>
  <c r="H109" i="65"/>
  <c r="F107" i="65"/>
  <c r="S107" i="65" s="1"/>
  <c r="D120" i="65"/>
  <c r="C120" i="65"/>
  <c r="H106" i="65"/>
  <c r="G117" i="63"/>
  <c r="H117" i="63"/>
  <c r="G116" i="63"/>
  <c r="G115" i="63"/>
  <c r="F115" i="63"/>
  <c r="H114" i="63"/>
  <c r="G111" i="63"/>
  <c r="F111" i="63"/>
  <c r="D121" i="63"/>
  <c r="C121" i="63"/>
  <c r="H109" i="63"/>
  <c r="G107" i="63"/>
  <c r="F107" i="63"/>
  <c r="D120" i="63"/>
  <c r="C120" i="63"/>
  <c r="H106" i="63"/>
  <c r="E86" i="69"/>
  <c r="D86" i="69"/>
  <c r="C86" i="69"/>
  <c r="B86" i="69"/>
  <c r="E69" i="69"/>
  <c r="E101" i="69" s="1"/>
  <c r="D69" i="69"/>
  <c r="C69" i="69"/>
  <c r="C101" i="69" s="1"/>
  <c r="L33" i="69" s="1"/>
  <c r="L52" i="69" s="1"/>
  <c r="U159" i="81" s="1"/>
  <c r="B69" i="69"/>
  <c r="B101" i="69" s="1"/>
  <c r="K33" i="69" s="1"/>
  <c r="K52" i="69" s="1"/>
  <c r="T159" i="81" s="1"/>
  <c r="E68" i="69"/>
  <c r="E100" i="69" s="1"/>
  <c r="D68" i="69"/>
  <c r="C68" i="69"/>
  <c r="C100" i="69" s="1"/>
  <c r="L32" i="69" s="1"/>
  <c r="L51" i="69" s="1"/>
  <c r="U158" i="81" s="1"/>
  <c r="B68" i="69"/>
  <c r="B100" i="69" s="1"/>
  <c r="E67" i="69"/>
  <c r="E99" i="69" s="1"/>
  <c r="D67" i="69"/>
  <c r="C67" i="69"/>
  <c r="C99" i="69" s="1"/>
  <c r="L31" i="69" s="1"/>
  <c r="L50" i="69" s="1"/>
  <c r="U157" i="81" s="1"/>
  <c r="B67" i="69"/>
  <c r="B99" i="69" s="1"/>
  <c r="K31" i="69" s="1"/>
  <c r="K50" i="69" s="1"/>
  <c r="T157" i="81" s="1"/>
  <c r="E66" i="69"/>
  <c r="E98" i="69" s="1"/>
  <c r="D66" i="69"/>
  <c r="C66" i="69"/>
  <c r="C98" i="69" s="1"/>
  <c r="L30" i="69" s="1"/>
  <c r="L49" i="69" s="1"/>
  <c r="U156" i="81" s="1"/>
  <c r="B66" i="69"/>
  <c r="B98" i="69" s="1"/>
  <c r="K30" i="69" s="1"/>
  <c r="K49" i="69" s="1"/>
  <c r="T156" i="81" s="1"/>
  <c r="E65" i="69"/>
  <c r="E97" i="69" s="1"/>
  <c r="D65" i="69"/>
  <c r="C65" i="69"/>
  <c r="C97" i="69" s="1"/>
  <c r="L29" i="69" s="1"/>
  <c r="L48" i="69" s="1"/>
  <c r="U155" i="81" s="1"/>
  <c r="B65" i="69"/>
  <c r="B97" i="69" s="1"/>
  <c r="K29" i="69" s="1"/>
  <c r="K48" i="69" s="1"/>
  <c r="T155" i="81" s="1"/>
  <c r="E64" i="69"/>
  <c r="D64" i="69"/>
  <c r="C64" i="69"/>
  <c r="C96" i="69" s="1"/>
  <c r="L28" i="69" s="1"/>
  <c r="L47" i="69" s="1"/>
  <c r="U154" i="81" s="1"/>
  <c r="B64" i="69"/>
  <c r="B96" i="69" s="1"/>
  <c r="E63" i="69"/>
  <c r="E95" i="69" s="1"/>
  <c r="D63" i="69"/>
  <c r="D95" i="69" s="1"/>
  <c r="C63" i="69"/>
  <c r="C95" i="69" s="1"/>
  <c r="L27" i="69" s="1"/>
  <c r="L46" i="69" s="1"/>
  <c r="U153" i="81" s="1"/>
  <c r="B63" i="69"/>
  <c r="B95" i="69" s="1"/>
  <c r="K27" i="69" s="1"/>
  <c r="K46" i="69" s="1"/>
  <c r="T153" i="81" s="1"/>
  <c r="E62" i="69"/>
  <c r="E94" i="69" s="1"/>
  <c r="D62" i="69"/>
  <c r="D94" i="69" s="1"/>
  <c r="C62" i="69"/>
  <c r="C94" i="69" s="1"/>
  <c r="L26" i="69" s="1"/>
  <c r="L45" i="69" s="1"/>
  <c r="U152" i="81" s="1"/>
  <c r="B62" i="69"/>
  <c r="B94" i="69" s="1"/>
  <c r="E61" i="69"/>
  <c r="E93" i="69" s="1"/>
  <c r="D61" i="69"/>
  <c r="D93" i="69" s="1"/>
  <c r="C61" i="69"/>
  <c r="C93" i="69" s="1"/>
  <c r="L25" i="69" s="1"/>
  <c r="L44" i="69" s="1"/>
  <c r="U151" i="81" s="1"/>
  <c r="B61" i="69"/>
  <c r="B93" i="69" s="1"/>
  <c r="K25" i="69" s="1"/>
  <c r="K44" i="69" s="1"/>
  <c r="T151" i="81" s="1"/>
  <c r="E60" i="69"/>
  <c r="E92" i="69" s="1"/>
  <c r="D60" i="69"/>
  <c r="D92" i="69" s="1"/>
  <c r="C60" i="69"/>
  <c r="C92" i="69" s="1"/>
  <c r="L24" i="69" s="1"/>
  <c r="L43" i="69" s="1"/>
  <c r="U150" i="81" s="1"/>
  <c r="B60" i="69"/>
  <c r="B92" i="69" s="1"/>
  <c r="E59" i="69"/>
  <c r="E91" i="69" s="1"/>
  <c r="D59" i="69"/>
  <c r="D91" i="69" s="1"/>
  <c r="C59" i="69"/>
  <c r="C91" i="69" s="1"/>
  <c r="L23" i="69" s="1"/>
  <c r="L42" i="69" s="1"/>
  <c r="U149" i="81" s="1"/>
  <c r="B59" i="69"/>
  <c r="B91" i="69" s="1"/>
  <c r="E58" i="69"/>
  <c r="D58" i="69"/>
  <c r="C58" i="69"/>
  <c r="C90" i="69" s="1"/>
  <c r="C102" i="69" s="1"/>
  <c r="B58" i="69"/>
  <c r="B90" i="69" s="1"/>
  <c r="B102" i="69" s="1"/>
  <c r="E53" i="69"/>
  <c r="D53" i="69"/>
  <c r="C53" i="69"/>
  <c r="B53" i="69"/>
  <c r="H37" i="69"/>
  <c r="G37" i="69"/>
  <c r="F37" i="69"/>
  <c r="E37" i="69"/>
  <c r="D37" i="69"/>
  <c r="C37" i="69"/>
  <c r="B37" i="69"/>
  <c r="H36" i="69"/>
  <c r="G36" i="69"/>
  <c r="F36" i="69"/>
  <c r="E36" i="69"/>
  <c r="D36" i="69"/>
  <c r="C36" i="69"/>
  <c r="B36" i="69"/>
  <c r="E34" i="69"/>
  <c r="D34" i="69"/>
  <c r="C34" i="69"/>
  <c r="B34" i="69"/>
  <c r="C18" i="69"/>
  <c r="B18" i="69"/>
  <c r="C17" i="69"/>
  <c r="C15" i="69"/>
  <c r="U18" i="81" s="1"/>
  <c r="AC4" i="69"/>
  <c r="E101" i="67"/>
  <c r="E100" i="67"/>
  <c r="B100" i="67"/>
  <c r="B96" i="67"/>
  <c r="B92" i="67"/>
  <c r="E86" i="67"/>
  <c r="D86" i="67"/>
  <c r="C86" i="67"/>
  <c r="B86" i="67"/>
  <c r="D69" i="67"/>
  <c r="D101" i="67" s="1"/>
  <c r="C69" i="67"/>
  <c r="C101" i="67" s="1"/>
  <c r="B69" i="67"/>
  <c r="B101" i="67" s="1"/>
  <c r="D68" i="67"/>
  <c r="D100" i="67" s="1"/>
  <c r="C68" i="67"/>
  <c r="C100" i="67" s="1"/>
  <c r="B68" i="67"/>
  <c r="E67" i="67"/>
  <c r="E99" i="67" s="1"/>
  <c r="D67" i="67"/>
  <c r="C67" i="67"/>
  <c r="C99" i="67" s="1"/>
  <c r="B67" i="67"/>
  <c r="B99" i="67" s="1"/>
  <c r="E66" i="67"/>
  <c r="E98" i="67" s="1"/>
  <c r="D66" i="67"/>
  <c r="C66" i="67"/>
  <c r="C98" i="67" s="1"/>
  <c r="B66" i="67"/>
  <c r="B98" i="67" s="1"/>
  <c r="E65" i="67"/>
  <c r="E97" i="67" s="1"/>
  <c r="D65" i="67"/>
  <c r="C65" i="67"/>
  <c r="C97" i="67" s="1"/>
  <c r="B65" i="67"/>
  <c r="B97" i="67" s="1"/>
  <c r="E64" i="67"/>
  <c r="E96" i="67" s="1"/>
  <c r="D64" i="67"/>
  <c r="D96" i="67" s="1"/>
  <c r="C64" i="67"/>
  <c r="C96" i="67" s="1"/>
  <c r="B64" i="67"/>
  <c r="E63" i="67"/>
  <c r="E95" i="67" s="1"/>
  <c r="D63" i="67"/>
  <c r="D95" i="67" s="1"/>
  <c r="C63" i="67"/>
  <c r="C95" i="67" s="1"/>
  <c r="B63" i="67"/>
  <c r="B95" i="67" s="1"/>
  <c r="E62" i="67"/>
  <c r="E94" i="67" s="1"/>
  <c r="D62" i="67"/>
  <c r="D94" i="67" s="1"/>
  <c r="C62" i="67"/>
  <c r="C94" i="67" s="1"/>
  <c r="B62" i="67"/>
  <c r="B94" i="67" s="1"/>
  <c r="E61" i="67"/>
  <c r="E93" i="67" s="1"/>
  <c r="D61" i="67"/>
  <c r="D93" i="67" s="1"/>
  <c r="C61" i="67"/>
  <c r="C93" i="67" s="1"/>
  <c r="B61" i="67"/>
  <c r="B93" i="67" s="1"/>
  <c r="E60" i="67"/>
  <c r="E92" i="67" s="1"/>
  <c r="D60" i="67"/>
  <c r="D92" i="67" s="1"/>
  <c r="C60" i="67"/>
  <c r="C92" i="67" s="1"/>
  <c r="B60" i="67"/>
  <c r="E59" i="67"/>
  <c r="E91" i="67" s="1"/>
  <c r="D59" i="67"/>
  <c r="D91" i="67" s="1"/>
  <c r="C59" i="67"/>
  <c r="C91" i="67" s="1"/>
  <c r="B59" i="67"/>
  <c r="B91" i="67" s="1"/>
  <c r="E58" i="67"/>
  <c r="E90" i="67" s="1"/>
  <c r="D58" i="67"/>
  <c r="C58" i="67"/>
  <c r="C90" i="67" s="1"/>
  <c r="B58" i="67"/>
  <c r="B90" i="67" s="1"/>
  <c r="E53" i="67"/>
  <c r="D53" i="67"/>
  <c r="C53" i="67"/>
  <c r="B53" i="67"/>
  <c r="E34" i="67"/>
  <c r="D34" i="67"/>
  <c r="C34" i="67"/>
  <c r="B34" i="67"/>
  <c r="H33" i="67"/>
  <c r="G33" i="67"/>
  <c r="F33" i="67"/>
  <c r="H32" i="67"/>
  <c r="G32" i="67"/>
  <c r="F32" i="67"/>
  <c r="H31" i="67"/>
  <c r="G31" i="67"/>
  <c r="F31" i="67"/>
  <c r="H30" i="67"/>
  <c r="G30" i="67"/>
  <c r="F30" i="67"/>
  <c r="H29" i="67"/>
  <c r="G29" i="67"/>
  <c r="F29" i="67"/>
  <c r="H28" i="67"/>
  <c r="G28" i="67"/>
  <c r="F28" i="67"/>
  <c r="H27" i="67"/>
  <c r="G27" i="67"/>
  <c r="F27" i="67"/>
  <c r="H26" i="67"/>
  <c r="G26" i="67"/>
  <c r="F26" i="67"/>
  <c r="H25" i="67"/>
  <c r="G25" i="67"/>
  <c r="F25" i="67"/>
  <c r="H24" i="67"/>
  <c r="G24" i="67"/>
  <c r="F24" i="67"/>
  <c r="H23" i="67"/>
  <c r="G23" i="67"/>
  <c r="F23" i="67"/>
  <c r="H22" i="67"/>
  <c r="G22" i="67"/>
  <c r="F22" i="67"/>
  <c r="E101" i="65"/>
  <c r="E100" i="65"/>
  <c r="D100" i="65"/>
  <c r="D98" i="65"/>
  <c r="D96" i="65"/>
  <c r="D94" i="65"/>
  <c r="D92" i="65"/>
  <c r="D90" i="65"/>
  <c r="E86" i="65"/>
  <c r="D86" i="65"/>
  <c r="C86" i="65"/>
  <c r="B86" i="65"/>
  <c r="D69" i="65"/>
  <c r="C69" i="65"/>
  <c r="C101" i="65" s="1"/>
  <c r="B69" i="65"/>
  <c r="B101" i="65" s="1"/>
  <c r="D68" i="65"/>
  <c r="C68" i="65"/>
  <c r="B68" i="65"/>
  <c r="B100" i="65" s="1"/>
  <c r="E67" i="65"/>
  <c r="E99" i="65" s="1"/>
  <c r="D67" i="65"/>
  <c r="D99" i="65" s="1"/>
  <c r="C67" i="65"/>
  <c r="C99" i="65" s="1"/>
  <c r="B67" i="65"/>
  <c r="B99" i="65" s="1"/>
  <c r="E66" i="65"/>
  <c r="E98" i="65" s="1"/>
  <c r="D66" i="65"/>
  <c r="C66" i="65"/>
  <c r="C98" i="65" s="1"/>
  <c r="B66" i="65"/>
  <c r="B98" i="65" s="1"/>
  <c r="E65" i="65"/>
  <c r="E97" i="65" s="1"/>
  <c r="D65" i="65"/>
  <c r="D97" i="65" s="1"/>
  <c r="C65" i="65"/>
  <c r="C97" i="65" s="1"/>
  <c r="B65" i="65"/>
  <c r="B97" i="65" s="1"/>
  <c r="E64" i="65"/>
  <c r="E96" i="65" s="1"/>
  <c r="D64" i="65"/>
  <c r="C64" i="65"/>
  <c r="C96" i="65" s="1"/>
  <c r="B64" i="65"/>
  <c r="B96" i="65" s="1"/>
  <c r="E63" i="65"/>
  <c r="E95" i="65" s="1"/>
  <c r="D63" i="65"/>
  <c r="D95" i="65" s="1"/>
  <c r="C63" i="65"/>
  <c r="C95" i="65" s="1"/>
  <c r="B63" i="65"/>
  <c r="B95" i="65" s="1"/>
  <c r="E62" i="65"/>
  <c r="E94" i="65" s="1"/>
  <c r="D62" i="65"/>
  <c r="C62" i="65"/>
  <c r="C94" i="65" s="1"/>
  <c r="B62" i="65"/>
  <c r="B94" i="65" s="1"/>
  <c r="E61" i="65"/>
  <c r="E93" i="65" s="1"/>
  <c r="D61" i="65"/>
  <c r="D93" i="65" s="1"/>
  <c r="C61" i="65"/>
  <c r="C93" i="65" s="1"/>
  <c r="B61" i="65"/>
  <c r="B93" i="65" s="1"/>
  <c r="E60" i="65"/>
  <c r="E92" i="65" s="1"/>
  <c r="D60" i="65"/>
  <c r="C60" i="65"/>
  <c r="C92" i="65" s="1"/>
  <c r="B60" i="65"/>
  <c r="B92" i="65" s="1"/>
  <c r="E59" i="65"/>
  <c r="E91" i="65" s="1"/>
  <c r="D59" i="65"/>
  <c r="D91" i="65" s="1"/>
  <c r="C59" i="65"/>
  <c r="C91" i="65" s="1"/>
  <c r="B59" i="65"/>
  <c r="B91" i="65" s="1"/>
  <c r="E58" i="65"/>
  <c r="E70" i="65" s="1"/>
  <c r="D58" i="65"/>
  <c r="C58" i="65"/>
  <c r="B58" i="65"/>
  <c r="B90" i="65" s="1"/>
  <c r="E53" i="65"/>
  <c r="D53" i="65"/>
  <c r="C53" i="65"/>
  <c r="B53" i="65"/>
  <c r="E37" i="65"/>
  <c r="D37" i="65"/>
  <c r="C37" i="65"/>
  <c r="B37" i="65"/>
  <c r="E36" i="65"/>
  <c r="D36" i="65"/>
  <c r="C36" i="65"/>
  <c r="B36" i="65"/>
  <c r="E34" i="65"/>
  <c r="D34" i="65"/>
  <c r="C34" i="65"/>
  <c r="B34" i="65"/>
  <c r="H33" i="65"/>
  <c r="G33" i="65"/>
  <c r="F33" i="65"/>
  <c r="H32" i="65"/>
  <c r="G32" i="65"/>
  <c r="F32" i="65"/>
  <c r="H31" i="65"/>
  <c r="G31" i="65"/>
  <c r="F31" i="65"/>
  <c r="H30" i="65"/>
  <c r="G30" i="65"/>
  <c r="F30" i="65"/>
  <c r="H29" i="65"/>
  <c r="G29" i="65"/>
  <c r="F29" i="65"/>
  <c r="H28" i="65"/>
  <c r="G28" i="65"/>
  <c r="F28" i="65"/>
  <c r="H27" i="65"/>
  <c r="G27" i="65"/>
  <c r="F27" i="65"/>
  <c r="H26" i="65"/>
  <c r="G26" i="65"/>
  <c r="F26" i="65"/>
  <c r="F37" i="65" s="1"/>
  <c r="H25" i="65"/>
  <c r="G25" i="65"/>
  <c r="F25" i="65"/>
  <c r="H24" i="65"/>
  <c r="G24" i="65"/>
  <c r="F24" i="65"/>
  <c r="H23" i="65"/>
  <c r="G23" i="65"/>
  <c r="F23" i="65"/>
  <c r="H22" i="65"/>
  <c r="G22" i="65"/>
  <c r="F22" i="65"/>
  <c r="E101" i="63"/>
  <c r="E100" i="63"/>
  <c r="E86" i="63"/>
  <c r="D86" i="63"/>
  <c r="C86" i="63"/>
  <c r="B86" i="63"/>
  <c r="D69" i="63"/>
  <c r="D101" i="63" s="1"/>
  <c r="C69" i="63"/>
  <c r="C101" i="63" s="1"/>
  <c r="B69" i="63"/>
  <c r="B101" i="63" s="1"/>
  <c r="D68" i="63"/>
  <c r="D100" i="63" s="1"/>
  <c r="C68" i="63"/>
  <c r="C100" i="63" s="1"/>
  <c r="B68" i="63"/>
  <c r="B100" i="63" s="1"/>
  <c r="E67" i="63"/>
  <c r="E99" i="63" s="1"/>
  <c r="D67" i="63"/>
  <c r="D99" i="63" s="1"/>
  <c r="C67" i="63"/>
  <c r="C99" i="63" s="1"/>
  <c r="B67" i="63"/>
  <c r="B99" i="63" s="1"/>
  <c r="E66" i="63"/>
  <c r="E98" i="63" s="1"/>
  <c r="D66" i="63"/>
  <c r="D98" i="63" s="1"/>
  <c r="C66" i="63"/>
  <c r="C98" i="63" s="1"/>
  <c r="B66" i="63"/>
  <c r="B98" i="63" s="1"/>
  <c r="E65" i="63"/>
  <c r="E97" i="63" s="1"/>
  <c r="D65" i="63"/>
  <c r="D97" i="63" s="1"/>
  <c r="C65" i="63"/>
  <c r="C97" i="63" s="1"/>
  <c r="B65" i="63"/>
  <c r="B97" i="63" s="1"/>
  <c r="E64" i="63"/>
  <c r="E96" i="63" s="1"/>
  <c r="D64" i="63"/>
  <c r="D96" i="63" s="1"/>
  <c r="C64" i="63"/>
  <c r="C96" i="63" s="1"/>
  <c r="B64" i="63"/>
  <c r="B96" i="63" s="1"/>
  <c r="E63" i="63"/>
  <c r="E95" i="63" s="1"/>
  <c r="D63" i="63"/>
  <c r="D95" i="63" s="1"/>
  <c r="C63" i="63"/>
  <c r="C95" i="63" s="1"/>
  <c r="B63" i="63"/>
  <c r="B95" i="63" s="1"/>
  <c r="E62" i="63"/>
  <c r="E94" i="63" s="1"/>
  <c r="D62" i="63"/>
  <c r="D94" i="63" s="1"/>
  <c r="C62" i="63"/>
  <c r="C94" i="63" s="1"/>
  <c r="B62" i="63"/>
  <c r="B94" i="63" s="1"/>
  <c r="E61" i="63"/>
  <c r="E93" i="63" s="1"/>
  <c r="D61" i="63"/>
  <c r="D93" i="63" s="1"/>
  <c r="C61" i="63"/>
  <c r="C93" i="63" s="1"/>
  <c r="B61" i="63"/>
  <c r="B93" i="63" s="1"/>
  <c r="E60" i="63"/>
  <c r="E92" i="63" s="1"/>
  <c r="D60" i="63"/>
  <c r="D92" i="63" s="1"/>
  <c r="C60" i="63"/>
  <c r="C92" i="63" s="1"/>
  <c r="B60" i="63"/>
  <c r="B92" i="63" s="1"/>
  <c r="E59" i="63"/>
  <c r="E91" i="63" s="1"/>
  <c r="D59" i="63"/>
  <c r="D91" i="63" s="1"/>
  <c r="C59" i="63"/>
  <c r="C91" i="63" s="1"/>
  <c r="B59" i="63"/>
  <c r="B91" i="63" s="1"/>
  <c r="E58" i="63"/>
  <c r="E90" i="63" s="1"/>
  <c r="D58" i="63"/>
  <c r="D90" i="63" s="1"/>
  <c r="C58" i="63"/>
  <c r="C90" i="63" s="1"/>
  <c r="B58" i="63"/>
  <c r="B90" i="63" s="1"/>
  <c r="E53" i="63"/>
  <c r="D53" i="63"/>
  <c r="C53" i="63"/>
  <c r="B53" i="63"/>
  <c r="E37" i="63"/>
  <c r="D37" i="63"/>
  <c r="C37" i="63"/>
  <c r="B37" i="63"/>
  <c r="E36" i="63"/>
  <c r="D36" i="63"/>
  <c r="C36" i="63"/>
  <c r="B36" i="63"/>
  <c r="E34" i="63"/>
  <c r="D34" i="63"/>
  <c r="C34" i="63"/>
  <c r="B34" i="63"/>
  <c r="H33" i="63"/>
  <c r="G33" i="63"/>
  <c r="F33" i="63"/>
  <c r="H32" i="63"/>
  <c r="G32" i="63"/>
  <c r="F32" i="63"/>
  <c r="H31" i="63"/>
  <c r="G31" i="63"/>
  <c r="F31" i="63"/>
  <c r="H30" i="63"/>
  <c r="G30" i="63"/>
  <c r="F30" i="63"/>
  <c r="H29" i="63"/>
  <c r="G29" i="63"/>
  <c r="F29" i="63"/>
  <c r="H28" i="63"/>
  <c r="G28" i="63"/>
  <c r="F28" i="63"/>
  <c r="H27" i="63"/>
  <c r="G27" i="63"/>
  <c r="F27" i="63"/>
  <c r="H26" i="63"/>
  <c r="G26" i="63"/>
  <c r="F26" i="63"/>
  <c r="H25" i="63"/>
  <c r="G25" i="63"/>
  <c r="F25" i="63"/>
  <c r="F37" i="63" s="1"/>
  <c r="H24" i="63"/>
  <c r="G24" i="63"/>
  <c r="F24" i="63"/>
  <c r="H23" i="63"/>
  <c r="G23" i="63"/>
  <c r="F23" i="63"/>
  <c r="F36" i="63" s="1"/>
  <c r="H22" i="63"/>
  <c r="G22" i="63"/>
  <c r="P29" i="50" l="1"/>
  <c r="L48" i="50"/>
  <c r="AA155" i="81" s="1"/>
  <c r="Q30" i="50"/>
  <c r="M49" i="50"/>
  <c r="AB156" i="81" s="1"/>
  <c r="X4" i="50"/>
  <c r="Y4" i="50"/>
  <c r="Z4" i="50"/>
  <c r="X6" i="50"/>
  <c r="Z6" i="50"/>
  <c r="Y6" i="50"/>
  <c r="X8" i="50"/>
  <c r="Z8" i="50"/>
  <c r="Y8" i="50"/>
  <c r="X12" i="50"/>
  <c r="Y12" i="50"/>
  <c r="Z12" i="50"/>
  <c r="K52" i="50"/>
  <c r="Z159" i="81" s="1"/>
  <c r="V5" i="50"/>
  <c r="V6" i="50"/>
  <c r="Q7" i="50"/>
  <c r="Y10" i="50"/>
  <c r="K41" i="50"/>
  <c r="Q23" i="50"/>
  <c r="K42" i="50"/>
  <c r="Z149" i="81" s="1"/>
  <c r="K43" i="50"/>
  <c r="Z150" i="81" s="1"/>
  <c r="K44" i="50"/>
  <c r="Z151" i="81" s="1"/>
  <c r="K45" i="50"/>
  <c r="Z152" i="81" s="1"/>
  <c r="K46" i="50"/>
  <c r="Z153" i="81" s="1"/>
  <c r="O28" i="50"/>
  <c r="K47" i="50"/>
  <c r="Z154" i="81" s="1"/>
  <c r="O29" i="50"/>
  <c r="K48" i="50"/>
  <c r="Z155" i="81" s="1"/>
  <c r="P30" i="50"/>
  <c r="K49" i="50"/>
  <c r="Z156" i="81" s="1"/>
  <c r="Q31" i="50"/>
  <c r="K50" i="50"/>
  <c r="Z157" i="81" s="1"/>
  <c r="K51" i="50"/>
  <c r="Z158" i="81" s="1"/>
  <c r="B30" i="81"/>
  <c r="E113" i="63"/>
  <c r="E30" i="81" s="1"/>
  <c r="J28" i="81"/>
  <c r="Q111" i="65"/>
  <c r="L111" i="65"/>
  <c r="E111" i="65"/>
  <c r="N27" i="81"/>
  <c r="E110" i="67"/>
  <c r="N31" i="81"/>
  <c r="E114" i="67"/>
  <c r="Q31" i="81" s="1"/>
  <c r="H36" i="63"/>
  <c r="G37" i="63"/>
  <c r="G36" i="65"/>
  <c r="H36" i="65"/>
  <c r="E90" i="65"/>
  <c r="B70" i="67"/>
  <c r="D90" i="69"/>
  <c r="D96" i="69"/>
  <c r="D97" i="69"/>
  <c r="D98" i="69"/>
  <c r="D99" i="69"/>
  <c r="D100" i="69"/>
  <c r="D101" i="69"/>
  <c r="B121" i="63"/>
  <c r="H114" i="67"/>
  <c r="K22" i="69"/>
  <c r="K41" i="69" s="1"/>
  <c r="T148" i="81" s="1"/>
  <c r="V3" i="50"/>
  <c r="V15" i="50" s="1"/>
  <c r="V4" i="50"/>
  <c r="Q5" i="50"/>
  <c r="W5" i="50"/>
  <c r="W6" i="50"/>
  <c r="U9" i="50"/>
  <c r="U10" i="50"/>
  <c r="Z10" i="50"/>
  <c r="V11" i="50"/>
  <c r="V12" i="50"/>
  <c r="L22" i="50"/>
  <c r="L41" i="50" s="1"/>
  <c r="L24" i="50"/>
  <c r="P24" i="50" s="1"/>
  <c r="L25" i="50"/>
  <c r="L26" i="50"/>
  <c r="L45" i="50" s="1"/>
  <c r="AA152" i="81" s="1"/>
  <c r="L27" i="50"/>
  <c r="L46" i="50" s="1"/>
  <c r="AA153" i="81" s="1"/>
  <c r="L32" i="50"/>
  <c r="L51" i="50" s="1"/>
  <c r="AA158" i="81" s="1"/>
  <c r="M33" i="50"/>
  <c r="H25" i="81"/>
  <c r="O108" i="65"/>
  <c r="J108" i="65"/>
  <c r="E108" i="65"/>
  <c r="J29" i="81"/>
  <c r="L112" i="65"/>
  <c r="Q112" i="65"/>
  <c r="N28" i="81"/>
  <c r="E111" i="67"/>
  <c r="H37" i="63"/>
  <c r="G36" i="63"/>
  <c r="G37" i="65"/>
  <c r="E90" i="69"/>
  <c r="E96" i="69"/>
  <c r="H113" i="63"/>
  <c r="G114" i="67"/>
  <c r="L22" i="69"/>
  <c r="L41" i="69" s="1"/>
  <c r="Q3" i="50"/>
  <c r="W3" i="50"/>
  <c r="W15" i="50" s="1"/>
  <c r="W4" i="50"/>
  <c r="V9" i="50"/>
  <c r="V10" i="50"/>
  <c r="Q11" i="50"/>
  <c r="W11" i="50"/>
  <c r="W12" i="50"/>
  <c r="M22" i="50"/>
  <c r="M26" i="50"/>
  <c r="M27" i="50"/>
  <c r="M46" i="50" s="1"/>
  <c r="AB153" i="81" s="1"/>
  <c r="M32" i="50"/>
  <c r="M51" i="50" s="1"/>
  <c r="AB158" i="81" s="1"/>
  <c r="B25" i="81"/>
  <c r="E108" i="63"/>
  <c r="H29" i="81"/>
  <c r="O112" i="65"/>
  <c r="J112" i="65"/>
  <c r="E112" i="65"/>
  <c r="J30" i="81"/>
  <c r="Q113" i="65"/>
  <c r="L113" i="65"/>
  <c r="N29" i="81"/>
  <c r="E112" i="67"/>
  <c r="AC34" i="73"/>
  <c r="G113" i="63"/>
  <c r="D121" i="65"/>
  <c r="F111" i="65"/>
  <c r="S111" i="65" s="1"/>
  <c r="H110" i="67"/>
  <c r="T3" i="50"/>
  <c r="Z3" i="50" s="1"/>
  <c r="Q9" i="50"/>
  <c r="W9" i="50"/>
  <c r="W10" i="50"/>
  <c r="O14" i="50"/>
  <c r="N22" i="50"/>
  <c r="B29" i="81"/>
  <c r="E112" i="63"/>
  <c r="H30" i="81"/>
  <c r="O113" i="65"/>
  <c r="J113" i="65"/>
  <c r="E113" i="65"/>
  <c r="J34" i="81"/>
  <c r="Q117" i="65"/>
  <c r="L117" i="65"/>
  <c r="N30" i="81"/>
  <c r="E113" i="67"/>
  <c r="AG86" i="73"/>
  <c r="AC180" i="81"/>
  <c r="X36" i="73"/>
  <c r="X37" i="73"/>
  <c r="Z37" i="73"/>
  <c r="AD76" i="73"/>
  <c r="Z182" i="81" s="1"/>
  <c r="Z192" i="81" s="1"/>
  <c r="AG24" i="73"/>
  <c r="AG25" i="73"/>
  <c r="AD77" i="73"/>
  <c r="Z183" i="81" s="1"/>
  <c r="AD83" i="73"/>
  <c r="Z189" i="81" s="1"/>
  <c r="AG31" i="73"/>
  <c r="AE74" i="73"/>
  <c r="AD34" i="73"/>
  <c r="AF74" i="73"/>
  <c r="AE34" i="73"/>
  <c r="AG29" i="73"/>
  <c r="AD81" i="73"/>
  <c r="Z187" i="81" s="1"/>
  <c r="Y37" i="73"/>
  <c r="AD80" i="73"/>
  <c r="Z186" i="81" s="1"/>
  <c r="AG28" i="73"/>
  <c r="AG22" i="73"/>
  <c r="AG32" i="73"/>
  <c r="AD84" i="73"/>
  <c r="Z190" i="81" s="1"/>
  <c r="AD79" i="73"/>
  <c r="Z185" i="81" s="1"/>
  <c r="AG27" i="73"/>
  <c r="O4" i="50"/>
  <c r="O8" i="50"/>
  <c r="O12" i="50"/>
  <c r="Y14" i="50"/>
  <c r="O24" i="50"/>
  <c r="P25" i="50"/>
  <c r="P32" i="50"/>
  <c r="X3" i="50"/>
  <c r="P4" i="50"/>
  <c r="X7" i="50"/>
  <c r="P8" i="50"/>
  <c r="X9" i="50"/>
  <c r="P10" i="50"/>
  <c r="Z13" i="50"/>
  <c r="Z14" i="50"/>
  <c r="P28" i="50"/>
  <c r="Q29" i="50"/>
  <c r="Q32" i="50"/>
  <c r="O3" i="50"/>
  <c r="Y3" i="50"/>
  <c r="O5" i="50"/>
  <c r="Y5" i="50"/>
  <c r="Q6" i="50"/>
  <c r="O7" i="50"/>
  <c r="Y7" i="50"/>
  <c r="O9" i="50"/>
  <c r="Y9" i="50"/>
  <c r="Q10" i="50"/>
  <c r="O11" i="50"/>
  <c r="Y11" i="50"/>
  <c r="Q12" i="50"/>
  <c r="P13" i="50"/>
  <c r="P14" i="50"/>
  <c r="K15" i="50"/>
  <c r="T15" i="50"/>
  <c r="O22" i="50"/>
  <c r="P23" i="50"/>
  <c r="Q24" i="50"/>
  <c r="O26" i="50"/>
  <c r="P27" i="50"/>
  <c r="Q28" i="50"/>
  <c r="O30" i="50"/>
  <c r="P31" i="50"/>
  <c r="P33" i="50"/>
  <c r="M34" i="50"/>
  <c r="O6" i="50"/>
  <c r="Y13" i="50"/>
  <c r="K34" i="50"/>
  <c r="X5" i="50"/>
  <c r="X11" i="50"/>
  <c r="O23" i="50"/>
  <c r="O27" i="50"/>
  <c r="O31" i="50"/>
  <c r="L34" i="69"/>
  <c r="Y5" i="69"/>
  <c r="G107" i="69"/>
  <c r="F110" i="69"/>
  <c r="B118" i="69"/>
  <c r="T35" i="81" s="1"/>
  <c r="D121" i="69"/>
  <c r="G106" i="69"/>
  <c r="F109" i="69"/>
  <c r="G110" i="69"/>
  <c r="H111" i="69"/>
  <c r="F113" i="69"/>
  <c r="G114" i="69"/>
  <c r="F117" i="69"/>
  <c r="C120" i="69"/>
  <c r="H106" i="69"/>
  <c r="F108" i="69"/>
  <c r="G109" i="69"/>
  <c r="F112" i="69"/>
  <c r="G113" i="69"/>
  <c r="H114" i="69"/>
  <c r="F116" i="69"/>
  <c r="G117" i="69"/>
  <c r="D118" i="69"/>
  <c r="V35" i="81" s="1"/>
  <c r="B121" i="69"/>
  <c r="F106" i="69"/>
  <c r="F120" i="69" s="1"/>
  <c r="G115" i="69"/>
  <c r="E118" i="69"/>
  <c r="W35" i="81" s="1"/>
  <c r="F106" i="67"/>
  <c r="G107" i="67"/>
  <c r="H108" i="67"/>
  <c r="F110" i="67"/>
  <c r="G111" i="67"/>
  <c r="H112" i="67"/>
  <c r="F114" i="67"/>
  <c r="G115" i="67"/>
  <c r="H116" i="67"/>
  <c r="B118" i="67"/>
  <c r="N35" i="81" s="1"/>
  <c r="B120" i="67"/>
  <c r="G106" i="67"/>
  <c r="H107" i="67"/>
  <c r="F109" i="67"/>
  <c r="G110" i="67"/>
  <c r="H111" i="67"/>
  <c r="F113" i="67"/>
  <c r="H115" i="67"/>
  <c r="F117" i="67"/>
  <c r="C118" i="67"/>
  <c r="O35" i="81" s="1"/>
  <c r="G109" i="67"/>
  <c r="G113" i="67"/>
  <c r="G117" i="67"/>
  <c r="D118" i="67"/>
  <c r="P35" i="81" s="1"/>
  <c r="B121" i="67"/>
  <c r="E118" i="67"/>
  <c r="Q35" i="81" s="1"/>
  <c r="F106" i="65"/>
  <c r="S106" i="65" s="1"/>
  <c r="G107" i="65"/>
  <c r="H108" i="65"/>
  <c r="F110" i="65"/>
  <c r="S110" i="65" s="1"/>
  <c r="G111" i="65"/>
  <c r="H112" i="65"/>
  <c r="F114" i="65"/>
  <c r="S114" i="65" s="1"/>
  <c r="G115" i="65"/>
  <c r="H116" i="65"/>
  <c r="B118" i="65"/>
  <c r="H35" i="81" s="1"/>
  <c r="B120" i="65"/>
  <c r="G106" i="65"/>
  <c r="H107" i="65"/>
  <c r="F109" i="65"/>
  <c r="S109" i="65" s="1"/>
  <c r="H111" i="65"/>
  <c r="F113" i="65"/>
  <c r="S113" i="65" s="1"/>
  <c r="H115" i="65"/>
  <c r="F117" i="65"/>
  <c r="S117" i="65" s="1"/>
  <c r="C118" i="65"/>
  <c r="I35" i="81" s="1"/>
  <c r="G109" i="65"/>
  <c r="G113" i="65"/>
  <c r="G117" i="65"/>
  <c r="D118" i="65"/>
  <c r="J35" i="81" s="1"/>
  <c r="B121" i="65"/>
  <c r="E118" i="65"/>
  <c r="K35" i="81" s="1"/>
  <c r="F106" i="63"/>
  <c r="H108" i="63"/>
  <c r="F110" i="63"/>
  <c r="H112" i="63"/>
  <c r="F114" i="63"/>
  <c r="H116" i="63"/>
  <c r="B118" i="63"/>
  <c r="B35" i="81" s="1"/>
  <c r="B120" i="63"/>
  <c r="G106" i="63"/>
  <c r="H107" i="63"/>
  <c r="F109" i="63"/>
  <c r="G110" i="63"/>
  <c r="H111" i="63"/>
  <c r="F113" i="63"/>
  <c r="G114" i="63"/>
  <c r="H115" i="63"/>
  <c r="F117" i="63"/>
  <c r="C118" i="63"/>
  <c r="C35" i="81" s="1"/>
  <c r="F108" i="63"/>
  <c r="G109" i="63"/>
  <c r="H110" i="63"/>
  <c r="F112" i="63"/>
  <c r="F116" i="63"/>
  <c r="D118" i="63"/>
  <c r="D35" i="81" s="1"/>
  <c r="E118" i="63"/>
  <c r="E35" i="81" s="1"/>
  <c r="D102" i="69"/>
  <c r="E102" i="69"/>
  <c r="B70" i="69"/>
  <c r="C70" i="69"/>
  <c r="D70" i="69"/>
  <c r="E70" i="69"/>
  <c r="D90" i="67"/>
  <c r="D70" i="67"/>
  <c r="D97" i="67"/>
  <c r="D98" i="67"/>
  <c r="D99" i="67"/>
  <c r="E102" i="67"/>
  <c r="C102" i="67"/>
  <c r="B102" i="67"/>
  <c r="C70" i="67"/>
  <c r="E70" i="67"/>
  <c r="H37" i="65"/>
  <c r="B102" i="65"/>
  <c r="C90" i="65"/>
  <c r="C70" i="65"/>
  <c r="C100" i="65"/>
  <c r="D101" i="65"/>
  <c r="D70" i="65"/>
  <c r="D102" i="65"/>
  <c r="F36" i="65"/>
  <c r="E102" i="65"/>
  <c r="B70" i="65"/>
  <c r="C102" i="63"/>
  <c r="D102" i="63"/>
  <c r="E102" i="63"/>
  <c r="B102" i="63"/>
  <c r="B70" i="63"/>
  <c r="C70" i="63"/>
  <c r="D70" i="63"/>
  <c r="E70" i="63"/>
  <c r="N34" i="50" l="1"/>
  <c r="N41" i="50"/>
  <c r="K29" i="81"/>
  <c r="R112" i="65"/>
  <c r="M112" i="65"/>
  <c r="G112" i="65"/>
  <c r="F112" i="65"/>
  <c r="S112" i="65" s="1"/>
  <c r="E25" i="81"/>
  <c r="E120" i="63"/>
  <c r="G108" i="63"/>
  <c r="G120" i="63" s="1"/>
  <c r="Q26" i="50"/>
  <c r="M45" i="50"/>
  <c r="AB152" i="81" s="1"/>
  <c r="Q28" i="81"/>
  <c r="F111" i="67"/>
  <c r="Q27" i="81"/>
  <c r="E121" i="67"/>
  <c r="K53" i="50"/>
  <c r="Z160" i="81" s="1"/>
  <c r="Z148" i="81"/>
  <c r="Q30" i="81"/>
  <c r="H113" i="67"/>
  <c r="Q22" i="50"/>
  <c r="M41" i="50"/>
  <c r="K25" i="81"/>
  <c r="R108" i="65"/>
  <c r="M108" i="65"/>
  <c r="F108" i="65"/>
  <c r="S108" i="65" s="1"/>
  <c r="E120" i="65"/>
  <c r="G108" i="65"/>
  <c r="O33" i="50"/>
  <c r="M52" i="50"/>
  <c r="AB159" i="81" s="1"/>
  <c r="Q25" i="50"/>
  <c r="L44" i="50"/>
  <c r="AA151" i="81" s="1"/>
  <c r="O32" i="50"/>
  <c r="P26" i="50"/>
  <c r="P22" i="50"/>
  <c r="K30" i="81"/>
  <c r="R113" i="65"/>
  <c r="M113" i="65"/>
  <c r="H113" i="65"/>
  <c r="E29" i="81"/>
  <c r="G112" i="63"/>
  <c r="G121" i="63" s="1"/>
  <c r="E121" i="63"/>
  <c r="L53" i="69"/>
  <c r="U160" i="81" s="1"/>
  <c r="U148" i="81"/>
  <c r="L34" i="50"/>
  <c r="L43" i="50"/>
  <c r="AA150" i="81" s="1"/>
  <c r="K28" i="81"/>
  <c r="R111" i="65"/>
  <c r="M111" i="65"/>
  <c r="E121" i="65"/>
  <c r="AJ180" i="81"/>
  <c r="Q29" i="81"/>
  <c r="G112" i="67"/>
  <c r="F112" i="67"/>
  <c r="AA148" i="81"/>
  <c r="L53" i="50"/>
  <c r="AA160" i="81" s="1"/>
  <c r="Q27" i="50"/>
  <c r="O25" i="50"/>
  <c r="Q33" i="50"/>
  <c r="AF86" i="73"/>
  <c r="AB180" i="81"/>
  <c r="AB192" i="81" s="1"/>
  <c r="AE86" i="73"/>
  <c r="AA180" i="81"/>
  <c r="AD86" i="73"/>
  <c r="G120" i="69"/>
  <c r="G121" i="67"/>
  <c r="F120" i="65"/>
  <c r="F121" i="63"/>
  <c r="G121" i="69"/>
  <c r="F121" i="69"/>
  <c r="G120" i="67"/>
  <c r="F121" i="67"/>
  <c r="F120" i="67"/>
  <c r="G121" i="65"/>
  <c r="G120" i="65"/>
  <c r="F121" i="65"/>
  <c r="F120" i="63"/>
  <c r="D102" i="67"/>
  <c r="C102" i="65"/>
  <c r="AB148" i="81" l="1"/>
  <c r="M53" i="50"/>
  <c r="AB160" i="81" s="1"/>
  <c r="N53" i="50"/>
  <c r="AP147" i="81" s="1"/>
  <c r="AC148" i="81"/>
  <c r="AH180" i="81"/>
  <c r="AH192" i="81" s="1"/>
  <c r="AM191" i="81" s="1"/>
  <c r="AA192" i="81"/>
  <c r="AJ191" i="81"/>
  <c r="AI180" i="81"/>
  <c r="AI192" i="81" s="1"/>
  <c r="AN191" i="81" s="1"/>
  <c r="AB194" i="81"/>
  <c r="AJ190" i="81" s="1"/>
  <c r="AJ192" i="81" s="1"/>
  <c r="AO191" i="81" s="1"/>
  <c r="AP149" i="81" l="1"/>
  <c r="AR149" i="81" s="1"/>
  <c r="R48" i="48"/>
  <c r="R48" i="45"/>
  <c r="R48" i="44"/>
  <c r="R48" i="43"/>
  <c r="R48" i="47"/>
  <c r="R48" i="41"/>
  <c r="R48" i="40"/>
  <c r="R48" i="39"/>
  <c r="R48" i="37"/>
  <c r="R48" i="36"/>
  <c r="R48" i="35"/>
  <c r="R48" i="34"/>
  <c r="R48" i="33"/>
  <c r="R48" i="26"/>
  <c r="R48" i="32"/>
  <c r="Q33" i="56" l="1"/>
  <c r="BT33" i="56" s="1"/>
  <c r="P33" i="56"/>
  <c r="BS33" i="56" s="1"/>
  <c r="O33" i="56"/>
  <c r="BR33" i="56" s="1"/>
  <c r="N33" i="56"/>
  <c r="BQ33" i="56" s="1"/>
  <c r="M33" i="56"/>
  <c r="BP33" i="56" s="1"/>
  <c r="L33" i="56"/>
  <c r="BO33" i="56" s="1"/>
  <c r="K33" i="56"/>
  <c r="BN33" i="56" s="1"/>
  <c r="J33" i="56"/>
  <c r="BM33" i="56" s="1"/>
  <c r="I33" i="56"/>
  <c r="BL33" i="56" s="1"/>
  <c r="H33" i="56"/>
  <c r="BK33" i="56" s="1"/>
  <c r="G33" i="56"/>
  <c r="BJ33" i="56" s="1"/>
  <c r="F33" i="56"/>
  <c r="BI33" i="56" s="1"/>
  <c r="E33" i="56"/>
  <c r="BH33" i="56" s="1"/>
  <c r="D33" i="56"/>
  <c r="BG33" i="56" s="1"/>
  <c r="C33" i="56"/>
  <c r="BF33" i="56" s="1"/>
  <c r="AJ32" i="56"/>
  <c r="AI32" i="56"/>
  <c r="AH32" i="56"/>
  <c r="AG32" i="56"/>
  <c r="AF32" i="56"/>
  <c r="AE32" i="56"/>
  <c r="AD32" i="56"/>
  <c r="AC32" i="56"/>
  <c r="AB32" i="56"/>
  <c r="AA32" i="56"/>
  <c r="Z32" i="56"/>
  <c r="Y32" i="56"/>
  <c r="X32" i="56"/>
  <c r="W32" i="56"/>
  <c r="V32" i="56"/>
  <c r="R32" i="56"/>
  <c r="AJ31" i="56"/>
  <c r="AI31" i="56"/>
  <c r="AH31" i="56"/>
  <c r="AG31" i="56"/>
  <c r="AF31" i="56"/>
  <c r="AE31" i="56"/>
  <c r="AD31" i="56"/>
  <c r="AC31" i="56"/>
  <c r="AB31" i="56"/>
  <c r="AA31" i="56"/>
  <c r="Z31" i="56"/>
  <c r="Y31" i="56"/>
  <c r="X31" i="56"/>
  <c r="W31" i="56"/>
  <c r="V31" i="56"/>
  <c r="R31" i="56"/>
  <c r="AJ30" i="56"/>
  <c r="AI30" i="56"/>
  <c r="AH30" i="56"/>
  <c r="AG30" i="56"/>
  <c r="AF30" i="56"/>
  <c r="AE30" i="56"/>
  <c r="AD30" i="56"/>
  <c r="AC30" i="56"/>
  <c r="AB30" i="56"/>
  <c r="AA30" i="56"/>
  <c r="Z30" i="56"/>
  <c r="Y30" i="56"/>
  <c r="X30" i="56"/>
  <c r="W30" i="56"/>
  <c r="V30" i="56"/>
  <c r="R30" i="56"/>
  <c r="AJ29" i="56"/>
  <c r="AI29" i="56"/>
  <c r="AH29" i="56"/>
  <c r="AG29" i="56"/>
  <c r="AF29" i="56"/>
  <c r="AE29" i="56"/>
  <c r="AD29" i="56"/>
  <c r="AC29" i="56"/>
  <c r="AB29" i="56"/>
  <c r="AA29" i="56"/>
  <c r="Z29" i="56"/>
  <c r="Y29" i="56"/>
  <c r="X29" i="56"/>
  <c r="W29" i="56"/>
  <c r="V29" i="56"/>
  <c r="R29" i="56"/>
  <c r="AJ28" i="56"/>
  <c r="AI28" i="56"/>
  <c r="AH28" i="56"/>
  <c r="AG28" i="56"/>
  <c r="AF28" i="56"/>
  <c r="AE28" i="56"/>
  <c r="AD28" i="56"/>
  <c r="AC28" i="56"/>
  <c r="AB28" i="56"/>
  <c r="AA28" i="56"/>
  <c r="Z28" i="56"/>
  <c r="Y28" i="56"/>
  <c r="X28" i="56"/>
  <c r="W28" i="56"/>
  <c r="V28" i="56"/>
  <c r="R28" i="56"/>
  <c r="AJ27" i="56"/>
  <c r="AI27" i="56"/>
  <c r="AH27" i="56"/>
  <c r="AG27" i="56"/>
  <c r="AF27" i="56"/>
  <c r="AE27" i="56"/>
  <c r="AD27" i="56"/>
  <c r="AC27" i="56"/>
  <c r="AB27" i="56"/>
  <c r="AA27" i="56"/>
  <c r="Z27" i="56"/>
  <c r="Y27" i="56"/>
  <c r="X27" i="56"/>
  <c r="W27" i="56"/>
  <c r="V27" i="56"/>
  <c r="R27" i="56"/>
  <c r="AJ26" i="56"/>
  <c r="AI26" i="56"/>
  <c r="AH26" i="56"/>
  <c r="AG26" i="56"/>
  <c r="AF26" i="56"/>
  <c r="AE26" i="56"/>
  <c r="AD26" i="56"/>
  <c r="AC26" i="56"/>
  <c r="AB26" i="56"/>
  <c r="AA26" i="56"/>
  <c r="Z26" i="56"/>
  <c r="Y26" i="56"/>
  <c r="X26" i="56"/>
  <c r="W26" i="56"/>
  <c r="V26" i="56"/>
  <c r="R26" i="56"/>
  <c r="AJ25" i="56"/>
  <c r="AI25" i="56"/>
  <c r="AH25" i="56"/>
  <c r="AG25" i="56"/>
  <c r="AF25" i="56"/>
  <c r="AE25" i="56"/>
  <c r="AD25" i="56"/>
  <c r="AC25" i="56"/>
  <c r="AB25" i="56"/>
  <c r="AA25" i="56"/>
  <c r="Z25" i="56"/>
  <c r="Y25" i="56"/>
  <c r="X25" i="56"/>
  <c r="W25" i="56"/>
  <c r="V25" i="56"/>
  <c r="R25" i="56"/>
  <c r="AJ24" i="56"/>
  <c r="AI24" i="56"/>
  <c r="AH24" i="56"/>
  <c r="AG24" i="56"/>
  <c r="AF24" i="56"/>
  <c r="AE24" i="56"/>
  <c r="AD24" i="56"/>
  <c r="AC24" i="56"/>
  <c r="AB24" i="56"/>
  <c r="AA24" i="56"/>
  <c r="Z24" i="56"/>
  <c r="Y24" i="56"/>
  <c r="X24" i="56"/>
  <c r="W24" i="56"/>
  <c r="V24" i="56"/>
  <c r="R24" i="56"/>
  <c r="AJ23" i="56"/>
  <c r="AI23" i="56"/>
  <c r="AH23" i="56"/>
  <c r="AG23" i="56"/>
  <c r="AF23" i="56"/>
  <c r="AE23" i="56"/>
  <c r="AD23" i="56"/>
  <c r="AC23" i="56"/>
  <c r="AB23" i="56"/>
  <c r="AA23" i="56"/>
  <c r="Z23" i="56"/>
  <c r="Y23" i="56"/>
  <c r="X23" i="56"/>
  <c r="W23" i="56"/>
  <c r="V23" i="56"/>
  <c r="R23" i="56"/>
  <c r="AJ22" i="56"/>
  <c r="AI22" i="56"/>
  <c r="AH22" i="56"/>
  <c r="AG22" i="56"/>
  <c r="AF22" i="56"/>
  <c r="AE22" i="56"/>
  <c r="AD22" i="56"/>
  <c r="AC22" i="56"/>
  <c r="AB22" i="56"/>
  <c r="AA22" i="56"/>
  <c r="Z22" i="56"/>
  <c r="Y22" i="56"/>
  <c r="X22" i="56"/>
  <c r="W22" i="56"/>
  <c r="V22" i="56"/>
  <c r="R22" i="56"/>
  <c r="AJ21" i="56"/>
  <c r="AJ33" i="56" s="1"/>
  <c r="AI21" i="56"/>
  <c r="AH21" i="56"/>
  <c r="AG21" i="56"/>
  <c r="AF21" i="56"/>
  <c r="AF33" i="56" s="1"/>
  <c r="AE21" i="56"/>
  <c r="AD21" i="56"/>
  <c r="AC21" i="56"/>
  <c r="AB21" i="56"/>
  <c r="AA21" i="56"/>
  <c r="Z21" i="56"/>
  <c r="Y21" i="56"/>
  <c r="X21" i="56"/>
  <c r="W21" i="56"/>
  <c r="V21" i="56"/>
  <c r="R21" i="56"/>
  <c r="Q16" i="56"/>
  <c r="P16" i="56"/>
  <c r="O16" i="56"/>
  <c r="N16" i="56"/>
  <c r="M16" i="56"/>
  <c r="L16" i="56"/>
  <c r="K16" i="56"/>
  <c r="J16" i="56"/>
  <c r="I16" i="56"/>
  <c r="H16" i="56"/>
  <c r="G16" i="56"/>
  <c r="F16" i="56"/>
  <c r="E16" i="56"/>
  <c r="D16" i="56"/>
  <c r="C16" i="56"/>
  <c r="AJ15" i="56"/>
  <c r="AI15" i="56"/>
  <c r="AH15" i="56"/>
  <c r="AG15" i="56"/>
  <c r="AF15" i="56"/>
  <c r="AE15" i="56"/>
  <c r="AD15" i="56"/>
  <c r="AC15" i="56"/>
  <c r="AB15" i="56"/>
  <c r="AA15" i="56"/>
  <c r="Z15" i="56"/>
  <c r="Y15" i="56"/>
  <c r="X15" i="56"/>
  <c r="W15" i="56"/>
  <c r="V15" i="56"/>
  <c r="R15" i="56"/>
  <c r="AJ14" i="56"/>
  <c r="AI14" i="56"/>
  <c r="AH14" i="56"/>
  <c r="AG14" i="56"/>
  <c r="AF14" i="56"/>
  <c r="AE14" i="56"/>
  <c r="AD14" i="56"/>
  <c r="AC14" i="56"/>
  <c r="AB14" i="56"/>
  <c r="AA14" i="56"/>
  <c r="Z14" i="56"/>
  <c r="Y14" i="56"/>
  <c r="X14" i="56"/>
  <c r="W14" i="56"/>
  <c r="V14" i="56"/>
  <c r="R14" i="56"/>
  <c r="AJ13" i="56"/>
  <c r="AI13" i="56"/>
  <c r="AH13" i="56"/>
  <c r="AG13" i="56"/>
  <c r="AF13" i="56"/>
  <c r="AE13" i="56"/>
  <c r="AD13" i="56"/>
  <c r="AC13" i="56"/>
  <c r="AB13" i="56"/>
  <c r="AA13" i="56"/>
  <c r="Z13" i="56"/>
  <c r="Y13" i="56"/>
  <c r="X13" i="56"/>
  <c r="W13" i="56"/>
  <c r="V13" i="56"/>
  <c r="R13" i="56"/>
  <c r="AJ12" i="56"/>
  <c r="AI12" i="56"/>
  <c r="AH12" i="56"/>
  <c r="AG12" i="56"/>
  <c r="AF12" i="56"/>
  <c r="AE12" i="56"/>
  <c r="AD12" i="56"/>
  <c r="AC12" i="56"/>
  <c r="AB12" i="56"/>
  <c r="AA12" i="56"/>
  <c r="Z12" i="56"/>
  <c r="Y12" i="56"/>
  <c r="X12" i="56"/>
  <c r="W12" i="56"/>
  <c r="V12" i="56"/>
  <c r="R12" i="56"/>
  <c r="AJ11" i="56"/>
  <c r="AI11" i="56"/>
  <c r="AH11" i="56"/>
  <c r="AG11" i="56"/>
  <c r="AF11" i="56"/>
  <c r="AE11" i="56"/>
  <c r="AD11" i="56"/>
  <c r="AC11" i="56"/>
  <c r="AB11" i="56"/>
  <c r="AA11" i="56"/>
  <c r="Z11" i="56"/>
  <c r="Y11" i="56"/>
  <c r="X11" i="56"/>
  <c r="W11" i="56"/>
  <c r="V11" i="56"/>
  <c r="R11" i="56"/>
  <c r="AJ10" i="56"/>
  <c r="AI10" i="56"/>
  <c r="AH10" i="56"/>
  <c r="AG10" i="56"/>
  <c r="AF10" i="56"/>
  <c r="AE10" i="56"/>
  <c r="AD10" i="56"/>
  <c r="AC10" i="56"/>
  <c r="AB10" i="56"/>
  <c r="AA10" i="56"/>
  <c r="Z10" i="56"/>
  <c r="Y10" i="56"/>
  <c r="X10" i="56"/>
  <c r="W10" i="56"/>
  <c r="V10" i="56"/>
  <c r="R10" i="56"/>
  <c r="AJ9" i="56"/>
  <c r="AI9" i="56"/>
  <c r="AH9" i="56"/>
  <c r="AG9" i="56"/>
  <c r="AF9" i="56"/>
  <c r="AE9" i="56"/>
  <c r="AD9" i="56"/>
  <c r="AC9" i="56"/>
  <c r="AB9" i="56"/>
  <c r="AA9" i="56"/>
  <c r="Z9" i="56"/>
  <c r="Y9" i="56"/>
  <c r="X9" i="56"/>
  <c r="W9" i="56"/>
  <c r="V9" i="56"/>
  <c r="R9" i="56"/>
  <c r="AJ8" i="56"/>
  <c r="AI8" i="56"/>
  <c r="AH8" i="56"/>
  <c r="AG8" i="56"/>
  <c r="AF8" i="56"/>
  <c r="AE8" i="56"/>
  <c r="AD8" i="56"/>
  <c r="AC8" i="56"/>
  <c r="AB8" i="56"/>
  <c r="AA8" i="56"/>
  <c r="Z8" i="56"/>
  <c r="Y8" i="56"/>
  <c r="X8" i="56"/>
  <c r="W8" i="56"/>
  <c r="V8" i="56"/>
  <c r="R8" i="56"/>
  <c r="AJ7" i="56"/>
  <c r="AI7" i="56"/>
  <c r="AH7" i="56"/>
  <c r="AG7" i="56"/>
  <c r="AF7" i="56"/>
  <c r="AE7" i="56"/>
  <c r="AD7" i="56"/>
  <c r="AC7" i="56"/>
  <c r="AB7" i="56"/>
  <c r="AA7" i="56"/>
  <c r="Z7" i="56"/>
  <c r="Y7" i="56"/>
  <c r="X7" i="56"/>
  <c r="W7" i="56"/>
  <c r="V7" i="56"/>
  <c r="R7" i="56"/>
  <c r="AJ6" i="56"/>
  <c r="AI6" i="56"/>
  <c r="AH6" i="56"/>
  <c r="AG6" i="56"/>
  <c r="AF6" i="56"/>
  <c r="AE6" i="56"/>
  <c r="AD6" i="56"/>
  <c r="AC6" i="56"/>
  <c r="AB6" i="56"/>
  <c r="AA6" i="56"/>
  <c r="Z6" i="56"/>
  <c r="Y6" i="56"/>
  <c r="X6" i="56"/>
  <c r="W6" i="56"/>
  <c r="V6" i="56"/>
  <c r="R6" i="56"/>
  <c r="AJ5" i="56"/>
  <c r="AI5" i="56"/>
  <c r="AH5" i="56"/>
  <c r="AG5" i="56"/>
  <c r="AF5" i="56"/>
  <c r="AE5" i="56"/>
  <c r="AD5" i="56"/>
  <c r="AC5" i="56"/>
  <c r="AB5" i="56"/>
  <c r="AA5" i="56"/>
  <c r="Z5" i="56"/>
  <c r="Y5" i="56"/>
  <c r="X5" i="56"/>
  <c r="W5" i="56"/>
  <c r="V5" i="56"/>
  <c r="R5" i="56"/>
  <c r="AJ4" i="56"/>
  <c r="AI4" i="56"/>
  <c r="AI16" i="56" s="1"/>
  <c r="AH4" i="56"/>
  <c r="AG4" i="56"/>
  <c r="AF4" i="56"/>
  <c r="AE4" i="56"/>
  <c r="AE16" i="56" s="1"/>
  <c r="AD4" i="56"/>
  <c r="AC4" i="56"/>
  <c r="AB4" i="56"/>
  <c r="AA4" i="56"/>
  <c r="Z4" i="56"/>
  <c r="Y4" i="56"/>
  <c r="X4" i="56"/>
  <c r="W4" i="56"/>
  <c r="V4" i="56"/>
  <c r="R4" i="56"/>
  <c r="AB33" i="56" l="1"/>
  <c r="AK11" i="56"/>
  <c r="X33" i="56"/>
  <c r="AK31" i="56"/>
  <c r="AK7" i="56"/>
  <c r="AK15" i="56"/>
  <c r="AK23" i="56"/>
  <c r="AK27" i="56"/>
  <c r="AK6" i="56"/>
  <c r="AK10" i="56"/>
  <c r="AK14" i="56"/>
  <c r="AK22" i="56"/>
  <c r="AK26" i="56"/>
  <c r="AK30" i="56"/>
  <c r="AK5" i="56"/>
  <c r="AK9" i="56"/>
  <c r="AK13" i="56"/>
  <c r="AK21" i="56"/>
  <c r="AK25" i="56"/>
  <c r="AK29" i="56"/>
  <c r="AK4" i="56"/>
  <c r="AK8" i="56"/>
  <c r="AK12" i="56"/>
  <c r="AK24" i="56"/>
  <c r="AK28" i="56"/>
  <c r="AK32" i="56"/>
  <c r="AF16" i="56"/>
  <c r="AC33" i="56"/>
  <c r="AG33" i="56"/>
  <c r="AC16" i="56"/>
  <c r="AG16" i="56"/>
  <c r="AD33" i="56"/>
  <c r="AH33" i="56"/>
  <c r="V16" i="56"/>
  <c r="AD16" i="56"/>
  <c r="AH16" i="56"/>
  <c r="AE33" i="56"/>
  <c r="AI33" i="56"/>
  <c r="AJ16" i="56"/>
  <c r="Y33" i="56"/>
  <c r="R33" i="56"/>
  <c r="V33" i="56"/>
  <c r="Z33" i="56"/>
  <c r="W33" i="56"/>
  <c r="AA33" i="56"/>
  <c r="W16" i="56"/>
  <c r="AA16" i="56"/>
  <c r="X16" i="56"/>
  <c r="AB16" i="56"/>
  <c r="Z16" i="56"/>
  <c r="R16" i="56"/>
  <c r="Y16" i="56"/>
  <c r="B4" i="69" l="1"/>
  <c r="T7" i="81" s="1"/>
  <c r="E18" i="50"/>
  <c r="D18" i="50"/>
  <c r="C18" i="50"/>
  <c r="B18" i="50"/>
  <c r="E17" i="50"/>
  <c r="D17" i="50"/>
  <c r="C17" i="50"/>
  <c r="B17" i="50"/>
  <c r="E15" i="50"/>
  <c r="AC18" i="81" s="1"/>
  <c r="D15" i="50"/>
  <c r="AB18" i="81" s="1"/>
  <c r="C15" i="50"/>
  <c r="AA18" i="81" s="1"/>
  <c r="B15" i="50"/>
  <c r="Z18" i="81" s="1"/>
  <c r="H14" i="50"/>
  <c r="G14" i="50"/>
  <c r="F14" i="50"/>
  <c r="H13" i="50"/>
  <c r="G13" i="50"/>
  <c r="F13" i="50"/>
  <c r="H12" i="50"/>
  <c r="G12" i="50"/>
  <c r="F12" i="50"/>
  <c r="H11" i="50"/>
  <c r="G11" i="50"/>
  <c r="F11" i="50"/>
  <c r="H10" i="50"/>
  <c r="G10" i="50"/>
  <c r="F10" i="50"/>
  <c r="H9" i="50"/>
  <c r="G9" i="50"/>
  <c r="F9" i="50"/>
  <c r="H8" i="50"/>
  <c r="G8" i="50"/>
  <c r="F8" i="50"/>
  <c r="H7" i="50"/>
  <c r="G7" i="50"/>
  <c r="F7" i="50"/>
  <c r="H6" i="50"/>
  <c r="G6" i="50"/>
  <c r="F6" i="50"/>
  <c r="H5" i="50"/>
  <c r="G5" i="50"/>
  <c r="F5" i="50"/>
  <c r="H4" i="50"/>
  <c r="G4" i="50"/>
  <c r="F4" i="50"/>
  <c r="H3" i="50"/>
  <c r="G3" i="50"/>
  <c r="F3" i="50"/>
  <c r="T4" i="69" l="1"/>
  <c r="T96" i="81" s="1"/>
  <c r="K4" i="69"/>
  <c r="B15" i="69"/>
  <c r="T18" i="81" s="1"/>
  <c r="B17" i="69"/>
  <c r="K23" i="69"/>
  <c r="F17" i="50"/>
  <c r="F18" i="50"/>
  <c r="K42" i="69" l="1"/>
  <c r="K34" i="69"/>
  <c r="O4" i="69"/>
  <c r="P4" i="69"/>
  <c r="K15" i="69"/>
  <c r="Q4" i="69"/>
  <c r="X4" i="69"/>
  <c r="Y4" i="69"/>
  <c r="T15" i="69"/>
  <c r="T107" i="81" s="1"/>
  <c r="Z4" i="69"/>
  <c r="Q33" i="48"/>
  <c r="BT33" i="48" s="1"/>
  <c r="P33" i="48"/>
  <c r="BS33" i="48" s="1"/>
  <c r="O33" i="48"/>
  <c r="BR33" i="48" s="1"/>
  <c r="N33" i="48"/>
  <c r="BQ33" i="48" s="1"/>
  <c r="M33" i="48"/>
  <c r="BP33" i="48" s="1"/>
  <c r="L33" i="48"/>
  <c r="BO33" i="48" s="1"/>
  <c r="K33" i="48"/>
  <c r="BN33" i="48" s="1"/>
  <c r="J33" i="48"/>
  <c r="BM33" i="48" s="1"/>
  <c r="I33" i="48"/>
  <c r="BL33" i="48" s="1"/>
  <c r="H33" i="48"/>
  <c r="BK33" i="48" s="1"/>
  <c r="G33" i="48"/>
  <c r="BJ33" i="48" s="1"/>
  <c r="F33" i="48"/>
  <c r="BI33" i="48" s="1"/>
  <c r="E33" i="48"/>
  <c r="BH33" i="48" s="1"/>
  <c r="D33" i="48"/>
  <c r="BG33" i="48" s="1"/>
  <c r="C33" i="48"/>
  <c r="BF33" i="48" s="1"/>
  <c r="AJ32" i="48"/>
  <c r="AI32" i="48"/>
  <c r="AH32" i="48"/>
  <c r="AG32" i="48"/>
  <c r="AF32" i="48"/>
  <c r="AE32" i="48"/>
  <c r="AD32" i="48"/>
  <c r="AC32" i="48"/>
  <c r="AB32" i="48"/>
  <c r="AA32" i="48"/>
  <c r="Z32" i="48"/>
  <c r="Y32" i="48"/>
  <c r="X32" i="48"/>
  <c r="W32" i="48"/>
  <c r="V32" i="48"/>
  <c r="R32" i="48"/>
  <c r="S32" i="48" s="1"/>
  <c r="AJ31" i="48"/>
  <c r="AI31" i="48"/>
  <c r="AH31" i="48"/>
  <c r="AG31" i="48"/>
  <c r="AF31" i="48"/>
  <c r="AE31" i="48"/>
  <c r="AD31" i="48"/>
  <c r="AC31" i="48"/>
  <c r="AB31" i="48"/>
  <c r="AA31" i="48"/>
  <c r="Z31" i="48"/>
  <c r="Y31" i="48"/>
  <c r="X31" i="48"/>
  <c r="W31" i="48"/>
  <c r="V31" i="48"/>
  <c r="R31" i="48"/>
  <c r="S31" i="48" s="1"/>
  <c r="AJ30" i="48"/>
  <c r="AI30" i="48"/>
  <c r="AH30" i="48"/>
  <c r="AG30" i="48"/>
  <c r="AF30" i="48"/>
  <c r="AE30" i="48"/>
  <c r="AD30" i="48"/>
  <c r="AC30" i="48"/>
  <c r="AB30" i="48"/>
  <c r="AA30" i="48"/>
  <c r="Z30" i="48"/>
  <c r="Y30" i="48"/>
  <c r="X30" i="48"/>
  <c r="W30" i="48"/>
  <c r="V30" i="48"/>
  <c r="R30" i="48"/>
  <c r="S30" i="48" s="1"/>
  <c r="AJ29" i="48"/>
  <c r="AI29" i="48"/>
  <c r="AH29" i="48"/>
  <c r="AG29" i="48"/>
  <c r="AF29" i="48"/>
  <c r="AE29" i="48"/>
  <c r="AD29" i="48"/>
  <c r="AC29" i="48"/>
  <c r="AB29" i="48"/>
  <c r="AA29" i="48"/>
  <c r="Z29" i="48"/>
  <c r="Y29" i="48"/>
  <c r="X29" i="48"/>
  <c r="W29" i="48"/>
  <c r="V29" i="48"/>
  <c r="R29" i="48"/>
  <c r="S29" i="48" s="1"/>
  <c r="AJ28" i="48"/>
  <c r="AI28" i="48"/>
  <c r="AH28" i="48"/>
  <c r="AG28" i="48"/>
  <c r="AF28" i="48"/>
  <c r="AE28" i="48"/>
  <c r="AD28" i="48"/>
  <c r="AC28" i="48"/>
  <c r="AB28" i="48"/>
  <c r="AA28" i="48"/>
  <c r="Z28" i="48"/>
  <c r="Y28" i="48"/>
  <c r="X28" i="48"/>
  <c r="W28" i="48"/>
  <c r="V28" i="48"/>
  <c r="R28" i="48"/>
  <c r="S28" i="48" s="1"/>
  <c r="AJ27" i="48"/>
  <c r="AI27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V27" i="48"/>
  <c r="R27" i="48"/>
  <c r="S27" i="48" s="1"/>
  <c r="AJ26" i="48"/>
  <c r="AI26" i="48"/>
  <c r="AH26" i="48"/>
  <c r="AG26" i="48"/>
  <c r="AF26" i="48"/>
  <c r="AE26" i="48"/>
  <c r="AD26" i="48"/>
  <c r="AC26" i="48"/>
  <c r="AB26" i="48"/>
  <c r="AA26" i="48"/>
  <c r="Z26" i="48"/>
  <c r="Y26" i="48"/>
  <c r="X26" i="48"/>
  <c r="W26" i="48"/>
  <c r="V26" i="48"/>
  <c r="R26" i="48"/>
  <c r="S26" i="48" s="1"/>
  <c r="AJ25" i="48"/>
  <c r="AI25" i="48"/>
  <c r="AH25" i="48"/>
  <c r="AG25" i="48"/>
  <c r="AF25" i="48"/>
  <c r="AE25" i="48"/>
  <c r="AD25" i="48"/>
  <c r="AC25" i="48"/>
  <c r="AB25" i="48"/>
  <c r="AA25" i="48"/>
  <c r="Z25" i="48"/>
  <c r="Y25" i="48"/>
  <c r="X25" i="48"/>
  <c r="W25" i="48"/>
  <c r="V25" i="48"/>
  <c r="R25" i="48"/>
  <c r="S25" i="48" s="1"/>
  <c r="AJ24" i="48"/>
  <c r="AI24" i="48"/>
  <c r="AH24" i="48"/>
  <c r="AG24" i="48"/>
  <c r="AF24" i="48"/>
  <c r="AE24" i="48"/>
  <c r="AD24" i="48"/>
  <c r="AC24" i="48"/>
  <c r="AB24" i="48"/>
  <c r="AA24" i="48"/>
  <c r="Z24" i="48"/>
  <c r="Y24" i="48"/>
  <c r="X24" i="48"/>
  <c r="W24" i="48"/>
  <c r="V24" i="48"/>
  <c r="R24" i="48"/>
  <c r="S24" i="48" s="1"/>
  <c r="AJ23" i="48"/>
  <c r="AI23" i="48"/>
  <c r="AH23" i="48"/>
  <c r="AG23" i="48"/>
  <c r="AF23" i="48"/>
  <c r="AE23" i="48"/>
  <c r="AD23" i="48"/>
  <c r="AC23" i="48"/>
  <c r="AB23" i="48"/>
  <c r="AA23" i="48"/>
  <c r="Z23" i="48"/>
  <c r="Y23" i="48"/>
  <c r="X23" i="48"/>
  <c r="W23" i="48"/>
  <c r="V23" i="48"/>
  <c r="R23" i="48"/>
  <c r="S23" i="48" s="1"/>
  <c r="AJ22" i="48"/>
  <c r="AI22" i="48"/>
  <c r="AH22" i="48"/>
  <c r="AG22" i="48"/>
  <c r="AF22" i="48"/>
  <c r="AE22" i="48"/>
  <c r="AD22" i="48"/>
  <c r="AC22" i="48"/>
  <c r="AB22" i="48"/>
  <c r="AA22" i="48"/>
  <c r="Z22" i="48"/>
  <c r="Y22" i="48"/>
  <c r="X22" i="48"/>
  <c r="W22" i="48"/>
  <c r="V22" i="48"/>
  <c r="R22" i="48"/>
  <c r="S22" i="48" s="1"/>
  <c r="AJ21" i="48"/>
  <c r="AI21" i="48"/>
  <c r="AH21" i="48"/>
  <c r="AH33" i="48" s="1"/>
  <c r="AG21" i="48"/>
  <c r="AF21" i="48"/>
  <c r="AE21" i="48"/>
  <c r="AD21" i="48"/>
  <c r="AD33" i="48" s="1"/>
  <c r="AC21" i="48"/>
  <c r="AB21" i="48"/>
  <c r="AA21" i="48"/>
  <c r="Z21" i="48"/>
  <c r="Y21" i="48"/>
  <c r="X21" i="48"/>
  <c r="W21" i="48"/>
  <c r="V21" i="48"/>
  <c r="R21" i="48"/>
  <c r="S21" i="48" s="1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C16" i="48"/>
  <c r="AJ15" i="48"/>
  <c r="AI15" i="48"/>
  <c r="AH15" i="48"/>
  <c r="AG15" i="48"/>
  <c r="AF15" i="48"/>
  <c r="AE15" i="48"/>
  <c r="AD15" i="48"/>
  <c r="AC15" i="48"/>
  <c r="AB15" i="48"/>
  <c r="AA15" i="48"/>
  <c r="Z15" i="48"/>
  <c r="Y15" i="48"/>
  <c r="X15" i="48"/>
  <c r="W15" i="48"/>
  <c r="V15" i="48"/>
  <c r="R15" i="48"/>
  <c r="S15" i="48" s="1"/>
  <c r="AJ14" i="48"/>
  <c r="AI14" i="48"/>
  <c r="AH14" i="48"/>
  <c r="AG14" i="48"/>
  <c r="AF14" i="48"/>
  <c r="AE14" i="48"/>
  <c r="AD14" i="48"/>
  <c r="AC14" i="48"/>
  <c r="AB14" i="48"/>
  <c r="AA14" i="48"/>
  <c r="Z14" i="48"/>
  <c r="Y14" i="48"/>
  <c r="X14" i="48"/>
  <c r="W14" i="48"/>
  <c r="V14" i="48"/>
  <c r="R14" i="48"/>
  <c r="S14" i="48" s="1"/>
  <c r="AJ13" i="48"/>
  <c r="AI13" i="48"/>
  <c r="AH13" i="48"/>
  <c r="AG13" i="48"/>
  <c r="AF13" i="48"/>
  <c r="AE13" i="48"/>
  <c r="AD13" i="48"/>
  <c r="AC13" i="48"/>
  <c r="AB13" i="48"/>
  <c r="AA13" i="48"/>
  <c r="Z13" i="48"/>
  <c r="Y13" i="48"/>
  <c r="X13" i="48"/>
  <c r="W13" i="48"/>
  <c r="V13" i="48"/>
  <c r="R13" i="48"/>
  <c r="S13" i="48" s="1"/>
  <c r="AJ12" i="48"/>
  <c r="AI12" i="48"/>
  <c r="AH12" i="48"/>
  <c r="AG12" i="48"/>
  <c r="AF12" i="48"/>
  <c r="AE12" i="48"/>
  <c r="AD12" i="48"/>
  <c r="AC12" i="48"/>
  <c r="AB12" i="48"/>
  <c r="AA12" i="48"/>
  <c r="Z12" i="48"/>
  <c r="Y12" i="48"/>
  <c r="X12" i="48"/>
  <c r="W12" i="48"/>
  <c r="V12" i="48"/>
  <c r="R12" i="48"/>
  <c r="S12" i="48" s="1"/>
  <c r="AJ11" i="48"/>
  <c r="AI11" i="48"/>
  <c r="AH11" i="48"/>
  <c r="AG11" i="48"/>
  <c r="AF11" i="48"/>
  <c r="AE11" i="48"/>
  <c r="AD11" i="48"/>
  <c r="AC11" i="48"/>
  <c r="AB11" i="48"/>
  <c r="AA11" i="48"/>
  <c r="Z11" i="48"/>
  <c r="Y11" i="48"/>
  <c r="X11" i="48"/>
  <c r="W11" i="48"/>
  <c r="V11" i="48"/>
  <c r="R11" i="48"/>
  <c r="S11" i="48" s="1"/>
  <c r="AJ10" i="48"/>
  <c r="AI10" i="48"/>
  <c r="AH10" i="48"/>
  <c r="AG10" i="48"/>
  <c r="AF10" i="48"/>
  <c r="AE10" i="48"/>
  <c r="AD10" i="48"/>
  <c r="AC10" i="48"/>
  <c r="AB10" i="48"/>
  <c r="AA10" i="48"/>
  <c r="Z10" i="48"/>
  <c r="Y10" i="48"/>
  <c r="X10" i="48"/>
  <c r="W10" i="48"/>
  <c r="V10" i="48"/>
  <c r="R10" i="48"/>
  <c r="S10" i="48" s="1"/>
  <c r="AJ9" i="48"/>
  <c r="AI9" i="48"/>
  <c r="AH9" i="48"/>
  <c r="AG9" i="48"/>
  <c r="AF9" i="48"/>
  <c r="AE9" i="48"/>
  <c r="AD9" i="48"/>
  <c r="AC9" i="48"/>
  <c r="AB9" i="48"/>
  <c r="AA9" i="48"/>
  <c r="Z9" i="48"/>
  <c r="Y9" i="48"/>
  <c r="X9" i="48"/>
  <c r="W9" i="48"/>
  <c r="V9" i="48"/>
  <c r="R9" i="48"/>
  <c r="S9" i="48" s="1"/>
  <c r="AJ8" i="48"/>
  <c r="AI8" i="48"/>
  <c r="AH8" i="48"/>
  <c r="AG8" i="48"/>
  <c r="AF8" i="48"/>
  <c r="AE8" i="48"/>
  <c r="AD8" i="48"/>
  <c r="AC8" i="48"/>
  <c r="AB8" i="48"/>
  <c r="AA8" i="48"/>
  <c r="Z8" i="48"/>
  <c r="Y8" i="48"/>
  <c r="X8" i="48"/>
  <c r="W8" i="48"/>
  <c r="V8" i="48"/>
  <c r="R8" i="48"/>
  <c r="S8" i="48" s="1"/>
  <c r="AJ7" i="48"/>
  <c r="AI7" i="48"/>
  <c r="AH7" i="48"/>
  <c r="AG7" i="48"/>
  <c r="AF7" i="48"/>
  <c r="AE7" i="48"/>
  <c r="AD7" i="48"/>
  <c r="AC7" i="48"/>
  <c r="AB7" i="48"/>
  <c r="AA7" i="48"/>
  <c r="Z7" i="48"/>
  <c r="Y7" i="48"/>
  <c r="X7" i="48"/>
  <c r="W7" i="48"/>
  <c r="V7" i="48"/>
  <c r="R7" i="48"/>
  <c r="S7" i="48" s="1"/>
  <c r="AJ6" i="48"/>
  <c r="AI6" i="48"/>
  <c r="AH6" i="48"/>
  <c r="AG6" i="48"/>
  <c r="AF6" i="48"/>
  <c r="AE6" i="48"/>
  <c r="AD6" i="48"/>
  <c r="AC6" i="48"/>
  <c r="AB6" i="48"/>
  <c r="AA6" i="48"/>
  <c r="Z6" i="48"/>
  <c r="Y6" i="48"/>
  <c r="X6" i="48"/>
  <c r="W6" i="48"/>
  <c r="V6" i="48"/>
  <c r="R6" i="48"/>
  <c r="S6" i="48" s="1"/>
  <c r="AJ5" i="48"/>
  <c r="AI5" i="48"/>
  <c r="AH5" i="48"/>
  <c r="AG5" i="48"/>
  <c r="AF5" i="48"/>
  <c r="AE5" i="48"/>
  <c r="AD5" i="48"/>
  <c r="AC5" i="48"/>
  <c r="AB5" i="48"/>
  <c r="AA5" i="48"/>
  <c r="Z5" i="48"/>
  <c r="Y5" i="48"/>
  <c r="X5" i="48"/>
  <c r="W5" i="48"/>
  <c r="V5" i="48"/>
  <c r="R5" i="48"/>
  <c r="S5" i="48" s="1"/>
  <c r="AJ4" i="48"/>
  <c r="AI4" i="48"/>
  <c r="AH4" i="48"/>
  <c r="AG4" i="48"/>
  <c r="AG16" i="48" s="1"/>
  <c r="AF4" i="48"/>
  <c r="AE4" i="48"/>
  <c r="AD4" i="48"/>
  <c r="AC4" i="48"/>
  <c r="AC16" i="48" s="1"/>
  <c r="AB4" i="48"/>
  <c r="AA4" i="48"/>
  <c r="Z4" i="48"/>
  <c r="Y4" i="48"/>
  <c r="X4" i="48"/>
  <c r="W4" i="48"/>
  <c r="V4" i="48"/>
  <c r="R4" i="48"/>
  <c r="S4" i="48" s="1"/>
  <c r="Q33" i="47"/>
  <c r="BT33" i="47" s="1"/>
  <c r="P33" i="47"/>
  <c r="BS33" i="47" s="1"/>
  <c r="O33" i="47"/>
  <c r="BR33" i="47" s="1"/>
  <c r="N33" i="47"/>
  <c r="BQ33" i="47" s="1"/>
  <c r="M33" i="47"/>
  <c r="BP33" i="47" s="1"/>
  <c r="L33" i="47"/>
  <c r="BO33" i="47" s="1"/>
  <c r="K33" i="47"/>
  <c r="BN33" i="47" s="1"/>
  <c r="J33" i="47"/>
  <c r="BM33" i="47" s="1"/>
  <c r="I33" i="47"/>
  <c r="BL33" i="47" s="1"/>
  <c r="H33" i="47"/>
  <c r="BK33" i="47" s="1"/>
  <c r="G33" i="47"/>
  <c r="BJ33" i="47" s="1"/>
  <c r="F33" i="47"/>
  <c r="BI33" i="47" s="1"/>
  <c r="E33" i="47"/>
  <c r="BH33" i="47" s="1"/>
  <c r="D33" i="47"/>
  <c r="BG33" i="47" s="1"/>
  <c r="C33" i="47"/>
  <c r="BF33" i="47" s="1"/>
  <c r="AJ32" i="47"/>
  <c r="AI32" i="47"/>
  <c r="AH32" i="47"/>
  <c r="AG32" i="47"/>
  <c r="AF32" i="47"/>
  <c r="AE32" i="47"/>
  <c r="AD32" i="47"/>
  <c r="AC32" i="47"/>
  <c r="AB32" i="47"/>
  <c r="AA32" i="47"/>
  <c r="Z32" i="47"/>
  <c r="Y32" i="47"/>
  <c r="X32" i="47"/>
  <c r="W32" i="47"/>
  <c r="V32" i="47"/>
  <c r="R32" i="47"/>
  <c r="S32" i="47" s="1"/>
  <c r="AJ31" i="47"/>
  <c r="AI31" i="47"/>
  <c r="AH31" i="47"/>
  <c r="AG31" i="47"/>
  <c r="AF31" i="47"/>
  <c r="AE31" i="47"/>
  <c r="AD31" i="47"/>
  <c r="AC31" i="47"/>
  <c r="AB31" i="47"/>
  <c r="AA31" i="47"/>
  <c r="Z31" i="47"/>
  <c r="Y31" i="47"/>
  <c r="X31" i="47"/>
  <c r="W31" i="47"/>
  <c r="V31" i="47"/>
  <c r="R31" i="47"/>
  <c r="S31" i="47" s="1"/>
  <c r="AJ30" i="47"/>
  <c r="AI30" i="47"/>
  <c r="AH30" i="47"/>
  <c r="AG30" i="47"/>
  <c r="AF30" i="47"/>
  <c r="AE30" i="47"/>
  <c r="AD30" i="47"/>
  <c r="AC30" i="47"/>
  <c r="AB30" i="47"/>
  <c r="AA30" i="47"/>
  <c r="Z30" i="47"/>
  <c r="Y30" i="47"/>
  <c r="X30" i="47"/>
  <c r="W30" i="47"/>
  <c r="V30" i="47"/>
  <c r="R30" i="47"/>
  <c r="S30" i="47" s="1"/>
  <c r="AJ29" i="47"/>
  <c r="AI29" i="47"/>
  <c r="AH29" i="47"/>
  <c r="AG29" i="47"/>
  <c r="AF29" i="47"/>
  <c r="AE29" i="47"/>
  <c r="AD29" i="47"/>
  <c r="AC29" i="47"/>
  <c r="AB29" i="47"/>
  <c r="AA29" i="47"/>
  <c r="Z29" i="47"/>
  <c r="Y29" i="47"/>
  <c r="X29" i="47"/>
  <c r="W29" i="47"/>
  <c r="V29" i="47"/>
  <c r="R29" i="47"/>
  <c r="S29" i="47" s="1"/>
  <c r="AJ28" i="47"/>
  <c r="AI28" i="47"/>
  <c r="AH28" i="47"/>
  <c r="AG28" i="47"/>
  <c r="AF28" i="47"/>
  <c r="AE28" i="47"/>
  <c r="AD28" i="47"/>
  <c r="AC28" i="47"/>
  <c r="AB28" i="47"/>
  <c r="AA28" i="47"/>
  <c r="Z28" i="47"/>
  <c r="Y28" i="47"/>
  <c r="X28" i="47"/>
  <c r="W28" i="47"/>
  <c r="V28" i="47"/>
  <c r="R28" i="47"/>
  <c r="S28" i="47" s="1"/>
  <c r="AJ27" i="47"/>
  <c r="AI27" i="47"/>
  <c r="AH27" i="47"/>
  <c r="AG27" i="47"/>
  <c r="AF27" i="47"/>
  <c r="AE27" i="47"/>
  <c r="AD27" i="47"/>
  <c r="AC27" i="47"/>
  <c r="AB27" i="47"/>
  <c r="AA27" i="47"/>
  <c r="Z27" i="47"/>
  <c r="Y27" i="47"/>
  <c r="X27" i="47"/>
  <c r="W27" i="47"/>
  <c r="V27" i="47"/>
  <c r="R27" i="47"/>
  <c r="S27" i="47" s="1"/>
  <c r="AJ26" i="47"/>
  <c r="AI26" i="47"/>
  <c r="AH26" i="47"/>
  <c r="AG26" i="47"/>
  <c r="AF26" i="47"/>
  <c r="AE26" i="47"/>
  <c r="AD26" i="47"/>
  <c r="AC26" i="47"/>
  <c r="AB26" i="47"/>
  <c r="AA26" i="47"/>
  <c r="Z26" i="47"/>
  <c r="Y26" i="47"/>
  <c r="X26" i="47"/>
  <c r="W26" i="47"/>
  <c r="V26" i="47"/>
  <c r="R26" i="47"/>
  <c r="S26" i="47" s="1"/>
  <c r="AJ25" i="47"/>
  <c r="AI25" i="47"/>
  <c r="AH25" i="47"/>
  <c r="AG25" i="47"/>
  <c r="AF25" i="47"/>
  <c r="AE25" i="47"/>
  <c r="AD25" i="47"/>
  <c r="AC25" i="47"/>
  <c r="AB25" i="47"/>
  <c r="AA25" i="47"/>
  <c r="Z25" i="47"/>
  <c r="Y25" i="47"/>
  <c r="X25" i="47"/>
  <c r="W25" i="47"/>
  <c r="V25" i="47"/>
  <c r="R25" i="47"/>
  <c r="S25" i="47" s="1"/>
  <c r="AJ24" i="47"/>
  <c r="AI24" i="47"/>
  <c r="AH24" i="47"/>
  <c r="AG24" i="47"/>
  <c r="AF24" i="47"/>
  <c r="AE24" i="47"/>
  <c r="AD24" i="47"/>
  <c r="AC24" i="47"/>
  <c r="AB24" i="47"/>
  <c r="AA24" i="47"/>
  <c r="Z24" i="47"/>
  <c r="Y24" i="47"/>
  <c r="X24" i="47"/>
  <c r="W24" i="47"/>
  <c r="V24" i="47"/>
  <c r="R24" i="47"/>
  <c r="S24" i="47" s="1"/>
  <c r="AJ23" i="47"/>
  <c r="AI23" i="47"/>
  <c r="AH23" i="47"/>
  <c r="AG23" i="47"/>
  <c r="AF23" i="47"/>
  <c r="AE23" i="47"/>
  <c r="AD23" i="47"/>
  <c r="AC23" i="47"/>
  <c r="AB23" i="47"/>
  <c r="AA23" i="47"/>
  <c r="Z23" i="47"/>
  <c r="Y23" i="47"/>
  <c r="X23" i="47"/>
  <c r="W23" i="47"/>
  <c r="V23" i="47"/>
  <c r="R23" i="47"/>
  <c r="S23" i="47" s="1"/>
  <c r="AJ22" i="47"/>
  <c r="AI22" i="47"/>
  <c r="AH22" i="47"/>
  <c r="AG22" i="47"/>
  <c r="AF22" i="47"/>
  <c r="AE22" i="47"/>
  <c r="AD22" i="47"/>
  <c r="AC22" i="47"/>
  <c r="AB22" i="47"/>
  <c r="AA22" i="47"/>
  <c r="Z22" i="47"/>
  <c r="Y22" i="47"/>
  <c r="X22" i="47"/>
  <c r="W22" i="47"/>
  <c r="V22" i="47"/>
  <c r="R22" i="47"/>
  <c r="S22" i="47" s="1"/>
  <c r="AJ21" i="47"/>
  <c r="AI21" i="47"/>
  <c r="AH21" i="47"/>
  <c r="AG21" i="47"/>
  <c r="AF21" i="47"/>
  <c r="AE21" i="47"/>
  <c r="AD21" i="47"/>
  <c r="AC21" i="47"/>
  <c r="AB21" i="47"/>
  <c r="AA21" i="47"/>
  <c r="Z21" i="47"/>
  <c r="Y21" i="47"/>
  <c r="X21" i="47"/>
  <c r="W21" i="47"/>
  <c r="V21" i="47"/>
  <c r="R21" i="47"/>
  <c r="S21" i="47" s="1"/>
  <c r="Q16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AJ15" i="47"/>
  <c r="AI15" i="47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V15" i="47"/>
  <c r="R15" i="47"/>
  <c r="S15" i="47" s="1"/>
  <c r="AJ14" i="47"/>
  <c r="AI14" i="47"/>
  <c r="AH14" i="47"/>
  <c r="AG14" i="47"/>
  <c r="AF14" i="47"/>
  <c r="AE14" i="47"/>
  <c r="AD14" i="47"/>
  <c r="AC14" i="47"/>
  <c r="AB14" i="47"/>
  <c r="AA14" i="47"/>
  <c r="Z14" i="47"/>
  <c r="Y14" i="47"/>
  <c r="X14" i="47"/>
  <c r="W14" i="47"/>
  <c r="V14" i="47"/>
  <c r="R14" i="47"/>
  <c r="S14" i="47" s="1"/>
  <c r="AJ13" i="47"/>
  <c r="AI13" i="47"/>
  <c r="AH13" i="47"/>
  <c r="AG13" i="47"/>
  <c r="AF13" i="47"/>
  <c r="AE13" i="47"/>
  <c r="AD13" i="47"/>
  <c r="AC13" i="47"/>
  <c r="AB13" i="47"/>
  <c r="AA13" i="47"/>
  <c r="Z13" i="47"/>
  <c r="Y13" i="47"/>
  <c r="X13" i="47"/>
  <c r="W13" i="47"/>
  <c r="V13" i="47"/>
  <c r="R13" i="47"/>
  <c r="S13" i="47" s="1"/>
  <c r="AJ12" i="47"/>
  <c r="AI12" i="47"/>
  <c r="AH12" i="47"/>
  <c r="AG12" i="47"/>
  <c r="AF12" i="47"/>
  <c r="AE12" i="47"/>
  <c r="AD12" i="47"/>
  <c r="AC12" i="47"/>
  <c r="AB12" i="47"/>
  <c r="AA12" i="47"/>
  <c r="Z12" i="47"/>
  <c r="Y12" i="47"/>
  <c r="X12" i="47"/>
  <c r="W12" i="47"/>
  <c r="V12" i="47"/>
  <c r="R12" i="47"/>
  <c r="S12" i="47" s="1"/>
  <c r="AJ11" i="47"/>
  <c r="AI11" i="47"/>
  <c r="AH11" i="47"/>
  <c r="AG11" i="47"/>
  <c r="AF11" i="47"/>
  <c r="AE11" i="47"/>
  <c r="AD11" i="47"/>
  <c r="AC11" i="47"/>
  <c r="AB11" i="47"/>
  <c r="AA11" i="47"/>
  <c r="Z11" i="47"/>
  <c r="Y11" i="47"/>
  <c r="X11" i="47"/>
  <c r="W11" i="47"/>
  <c r="V11" i="47"/>
  <c r="R11" i="47"/>
  <c r="S11" i="47" s="1"/>
  <c r="AJ10" i="47"/>
  <c r="AI10" i="47"/>
  <c r="AH10" i="47"/>
  <c r="AG10" i="47"/>
  <c r="AF10" i="47"/>
  <c r="AE10" i="47"/>
  <c r="AD10" i="47"/>
  <c r="AC10" i="47"/>
  <c r="AB10" i="47"/>
  <c r="AA10" i="47"/>
  <c r="Z10" i="47"/>
  <c r="Y10" i="47"/>
  <c r="X10" i="47"/>
  <c r="W10" i="47"/>
  <c r="V10" i="47"/>
  <c r="R10" i="47"/>
  <c r="S10" i="47" s="1"/>
  <c r="AJ9" i="47"/>
  <c r="AI9" i="47"/>
  <c r="AH9" i="47"/>
  <c r="AG9" i="47"/>
  <c r="AF9" i="47"/>
  <c r="AE9" i="47"/>
  <c r="AD9" i="47"/>
  <c r="AC9" i="47"/>
  <c r="AB9" i="47"/>
  <c r="AA9" i="47"/>
  <c r="Z9" i="47"/>
  <c r="Y9" i="47"/>
  <c r="X9" i="47"/>
  <c r="W9" i="47"/>
  <c r="V9" i="47"/>
  <c r="R9" i="47"/>
  <c r="S9" i="47" s="1"/>
  <c r="AJ8" i="47"/>
  <c r="AI8" i="47"/>
  <c r="AH8" i="47"/>
  <c r="AG8" i="47"/>
  <c r="AF8" i="47"/>
  <c r="AE8" i="47"/>
  <c r="AD8" i="47"/>
  <c r="AC8" i="47"/>
  <c r="AB8" i="47"/>
  <c r="AA8" i="47"/>
  <c r="Z8" i="47"/>
  <c r="Y8" i="47"/>
  <c r="X8" i="47"/>
  <c r="W8" i="47"/>
  <c r="V8" i="47"/>
  <c r="R8" i="47"/>
  <c r="S8" i="47" s="1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R7" i="47"/>
  <c r="S7" i="47" s="1"/>
  <c r="AJ6" i="47"/>
  <c r="AI6" i="47"/>
  <c r="AH6" i="47"/>
  <c r="AG6" i="47"/>
  <c r="AF6" i="47"/>
  <c r="AE6" i="47"/>
  <c r="AD6" i="47"/>
  <c r="AC6" i="47"/>
  <c r="AB6" i="47"/>
  <c r="AA6" i="47"/>
  <c r="Z6" i="47"/>
  <c r="Y6" i="47"/>
  <c r="X6" i="47"/>
  <c r="W6" i="47"/>
  <c r="V6" i="47"/>
  <c r="R6" i="47"/>
  <c r="S6" i="47" s="1"/>
  <c r="AJ5" i="47"/>
  <c r="AI5" i="47"/>
  <c r="AH5" i="47"/>
  <c r="AG5" i="47"/>
  <c r="AF5" i="47"/>
  <c r="AE5" i="47"/>
  <c r="AD5" i="47"/>
  <c r="AC5" i="47"/>
  <c r="AB5" i="47"/>
  <c r="AA5" i="47"/>
  <c r="Z5" i="47"/>
  <c r="Y5" i="47"/>
  <c r="X5" i="47"/>
  <c r="W5" i="47"/>
  <c r="V5" i="47"/>
  <c r="R5" i="47"/>
  <c r="S5" i="47" s="1"/>
  <c r="AJ4" i="47"/>
  <c r="AI4" i="47"/>
  <c r="AH4" i="47"/>
  <c r="AG4" i="47"/>
  <c r="AF4" i="47"/>
  <c r="AE4" i="47"/>
  <c r="AD4" i="47"/>
  <c r="AC4" i="47"/>
  <c r="AB4" i="47"/>
  <c r="AA4" i="47"/>
  <c r="Z4" i="47"/>
  <c r="Y4" i="47"/>
  <c r="X4" i="47"/>
  <c r="W4" i="47"/>
  <c r="V4" i="47"/>
  <c r="R4" i="47"/>
  <c r="S4" i="47" s="1"/>
  <c r="Q33" i="45"/>
  <c r="BT33" i="45" s="1"/>
  <c r="P33" i="45"/>
  <c r="BS33" i="45" s="1"/>
  <c r="O33" i="45"/>
  <c r="BR33" i="45" s="1"/>
  <c r="N33" i="45"/>
  <c r="BQ33" i="45" s="1"/>
  <c r="M33" i="45"/>
  <c r="BP33" i="45" s="1"/>
  <c r="L33" i="45"/>
  <c r="BO33" i="45" s="1"/>
  <c r="K33" i="45"/>
  <c r="BN33" i="45" s="1"/>
  <c r="J33" i="45"/>
  <c r="BM33" i="45" s="1"/>
  <c r="I33" i="45"/>
  <c r="BL33" i="45" s="1"/>
  <c r="H33" i="45"/>
  <c r="BK33" i="45" s="1"/>
  <c r="G33" i="45"/>
  <c r="BJ33" i="45" s="1"/>
  <c r="F33" i="45"/>
  <c r="BI33" i="45" s="1"/>
  <c r="E33" i="45"/>
  <c r="BH33" i="45" s="1"/>
  <c r="D33" i="45"/>
  <c r="BG33" i="45" s="1"/>
  <c r="C33" i="45"/>
  <c r="BF33" i="45" s="1"/>
  <c r="AJ32" i="45"/>
  <c r="AI32" i="45"/>
  <c r="AH32" i="45"/>
  <c r="AG32" i="45"/>
  <c r="AF32" i="45"/>
  <c r="AE32" i="45"/>
  <c r="AD32" i="45"/>
  <c r="AC32" i="45"/>
  <c r="AB32" i="45"/>
  <c r="AA32" i="45"/>
  <c r="Z32" i="45"/>
  <c r="Y32" i="45"/>
  <c r="X32" i="45"/>
  <c r="W32" i="45"/>
  <c r="V32" i="45"/>
  <c r="R32" i="45"/>
  <c r="S32" i="45" s="1"/>
  <c r="AJ31" i="45"/>
  <c r="AI31" i="45"/>
  <c r="AH31" i="45"/>
  <c r="AG31" i="45"/>
  <c r="AF31" i="45"/>
  <c r="AE31" i="45"/>
  <c r="AD31" i="45"/>
  <c r="AC31" i="45"/>
  <c r="AB31" i="45"/>
  <c r="AA31" i="45"/>
  <c r="Z31" i="45"/>
  <c r="Y31" i="45"/>
  <c r="X31" i="45"/>
  <c r="W31" i="45"/>
  <c r="V31" i="45"/>
  <c r="R31" i="45"/>
  <c r="S31" i="45" s="1"/>
  <c r="AJ30" i="45"/>
  <c r="AI30" i="45"/>
  <c r="AH30" i="45"/>
  <c r="AG30" i="45"/>
  <c r="AF30" i="45"/>
  <c r="AE30" i="45"/>
  <c r="AD30" i="45"/>
  <c r="AC30" i="45"/>
  <c r="AB30" i="45"/>
  <c r="AA30" i="45"/>
  <c r="Z30" i="45"/>
  <c r="Y30" i="45"/>
  <c r="X30" i="45"/>
  <c r="W30" i="45"/>
  <c r="V30" i="45"/>
  <c r="R30" i="45"/>
  <c r="S30" i="45" s="1"/>
  <c r="AJ29" i="45"/>
  <c r="AI29" i="45"/>
  <c r="AH29" i="45"/>
  <c r="AG29" i="45"/>
  <c r="AF29" i="45"/>
  <c r="AE29" i="45"/>
  <c r="AD29" i="45"/>
  <c r="AC29" i="45"/>
  <c r="AB29" i="45"/>
  <c r="AA29" i="45"/>
  <c r="Z29" i="45"/>
  <c r="Y29" i="45"/>
  <c r="X29" i="45"/>
  <c r="W29" i="45"/>
  <c r="V29" i="45"/>
  <c r="R29" i="45"/>
  <c r="S29" i="45" s="1"/>
  <c r="AJ28" i="45"/>
  <c r="AI28" i="45"/>
  <c r="AH28" i="45"/>
  <c r="AG28" i="45"/>
  <c r="AF28" i="45"/>
  <c r="AE28" i="45"/>
  <c r="AD28" i="45"/>
  <c r="AC28" i="45"/>
  <c r="AB28" i="45"/>
  <c r="AA28" i="45"/>
  <c r="Z28" i="45"/>
  <c r="Y28" i="45"/>
  <c r="X28" i="45"/>
  <c r="W28" i="45"/>
  <c r="V28" i="45"/>
  <c r="R28" i="45"/>
  <c r="S28" i="45" s="1"/>
  <c r="AJ27" i="45"/>
  <c r="AI27" i="45"/>
  <c r="AH27" i="45"/>
  <c r="AG27" i="45"/>
  <c r="AF27" i="45"/>
  <c r="AE27" i="45"/>
  <c r="AD27" i="45"/>
  <c r="AC27" i="45"/>
  <c r="AB27" i="45"/>
  <c r="AA27" i="45"/>
  <c r="Z27" i="45"/>
  <c r="Y27" i="45"/>
  <c r="X27" i="45"/>
  <c r="W27" i="45"/>
  <c r="V27" i="45"/>
  <c r="R27" i="45"/>
  <c r="S27" i="45" s="1"/>
  <c r="AJ26" i="45"/>
  <c r="AI26" i="45"/>
  <c r="AH26" i="45"/>
  <c r="AG26" i="45"/>
  <c r="AF26" i="45"/>
  <c r="AE26" i="45"/>
  <c r="AD26" i="45"/>
  <c r="AC26" i="45"/>
  <c r="AB26" i="45"/>
  <c r="AA26" i="45"/>
  <c r="Z26" i="45"/>
  <c r="Y26" i="45"/>
  <c r="X26" i="45"/>
  <c r="W26" i="45"/>
  <c r="V26" i="45"/>
  <c r="R26" i="45"/>
  <c r="S26" i="45" s="1"/>
  <c r="AJ25" i="45"/>
  <c r="AI25" i="45"/>
  <c r="AH25" i="45"/>
  <c r="AG25" i="45"/>
  <c r="AF25" i="45"/>
  <c r="AE25" i="45"/>
  <c r="AD25" i="45"/>
  <c r="AC25" i="45"/>
  <c r="AB25" i="45"/>
  <c r="AA25" i="45"/>
  <c r="Z25" i="45"/>
  <c r="Y25" i="45"/>
  <c r="X25" i="45"/>
  <c r="W25" i="45"/>
  <c r="V25" i="45"/>
  <c r="R25" i="45"/>
  <c r="S25" i="45" s="1"/>
  <c r="AJ24" i="45"/>
  <c r="AI24" i="45"/>
  <c r="AH24" i="45"/>
  <c r="AG24" i="45"/>
  <c r="AF24" i="45"/>
  <c r="AE24" i="45"/>
  <c r="AD24" i="45"/>
  <c r="AC24" i="45"/>
  <c r="AB24" i="45"/>
  <c r="AA24" i="45"/>
  <c r="Z24" i="45"/>
  <c r="Y24" i="45"/>
  <c r="X24" i="45"/>
  <c r="W24" i="45"/>
  <c r="V24" i="45"/>
  <c r="R24" i="45"/>
  <c r="S24" i="45" s="1"/>
  <c r="AJ23" i="45"/>
  <c r="AI23" i="45"/>
  <c r="AH23" i="45"/>
  <c r="AG23" i="45"/>
  <c r="AF23" i="45"/>
  <c r="AE23" i="45"/>
  <c r="AD23" i="45"/>
  <c r="AC23" i="45"/>
  <c r="AB23" i="45"/>
  <c r="AA23" i="45"/>
  <c r="Z23" i="45"/>
  <c r="Y23" i="45"/>
  <c r="X23" i="45"/>
  <c r="W23" i="45"/>
  <c r="V23" i="45"/>
  <c r="R23" i="45"/>
  <c r="S23" i="45" s="1"/>
  <c r="AJ22" i="45"/>
  <c r="AI22" i="45"/>
  <c r="AH22" i="45"/>
  <c r="AG22" i="45"/>
  <c r="AF22" i="45"/>
  <c r="AE22" i="45"/>
  <c r="AD22" i="45"/>
  <c r="AC22" i="45"/>
  <c r="AB22" i="45"/>
  <c r="AA22" i="45"/>
  <c r="Z22" i="45"/>
  <c r="Y22" i="45"/>
  <c r="X22" i="45"/>
  <c r="W22" i="45"/>
  <c r="V22" i="45"/>
  <c r="R22" i="45"/>
  <c r="S22" i="45" s="1"/>
  <c r="AJ21" i="45"/>
  <c r="AI21" i="45"/>
  <c r="AH21" i="45"/>
  <c r="AG21" i="45"/>
  <c r="AF21" i="45"/>
  <c r="AE21" i="45"/>
  <c r="AD21" i="45"/>
  <c r="AC21" i="45"/>
  <c r="AB21" i="45"/>
  <c r="AA21" i="45"/>
  <c r="Z21" i="45"/>
  <c r="Y21" i="45"/>
  <c r="X21" i="45"/>
  <c r="W21" i="45"/>
  <c r="V21" i="45"/>
  <c r="R21" i="45"/>
  <c r="S21" i="45" s="1"/>
  <c r="Q16" i="45"/>
  <c r="P16" i="45"/>
  <c r="O16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AJ15" i="45"/>
  <c r="AI15" i="45"/>
  <c r="AH15" i="45"/>
  <c r="AG15" i="45"/>
  <c r="AF15" i="45"/>
  <c r="AE15" i="45"/>
  <c r="AD15" i="45"/>
  <c r="AC15" i="45"/>
  <c r="AB15" i="45"/>
  <c r="AA15" i="45"/>
  <c r="Z15" i="45"/>
  <c r="Y15" i="45"/>
  <c r="X15" i="45"/>
  <c r="W15" i="45"/>
  <c r="V15" i="45"/>
  <c r="R15" i="45"/>
  <c r="S15" i="45" s="1"/>
  <c r="AJ14" i="45"/>
  <c r="AI14" i="45"/>
  <c r="AH14" i="45"/>
  <c r="AG14" i="45"/>
  <c r="AF14" i="45"/>
  <c r="AE14" i="45"/>
  <c r="AD14" i="45"/>
  <c r="AC14" i="45"/>
  <c r="AB14" i="45"/>
  <c r="AA14" i="45"/>
  <c r="Z14" i="45"/>
  <c r="Y14" i="45"/>
  <c r="X14" i="45"/>
  <c r="W14" i="45"/>
  <c r="V14" i="45"/>
  <c r="R14" i="45"/>
  <c r="S14" i="45" s="1"/>
  <c r="AJ13" i="45"/>
  <c r="AI13" i="45"/>
  <c r="AH13" i="45"/>
  <c r="AG13" i="45"/>
  <c r="AF13" i="45"/>
  <c r="AE13" i="45"/>
  <c r="AD13" i="45"/>
  <c r="AC13" i="45"/>
  <c r="AB13" i="45"/>
  <c r="AA13" i="45"/>
  <c r="Z13" i="45"/>
  <c r="Y13" i="45"/>
  <c r="X13" i="45"/>
  <c r="W13" i="45"/>
  <c r="V13" i="45"/>
  <c r="R13" i="45"/>
  <c r="S13" i="45" s="1"/>
  <c r="AJ12" i="45"/>
  <c r="AI12" i="45"/>
  <c r="AH12" i="45"/>
  <c r="AG12" i="45"/>
  <c r="AF12" i="45"/>
  <c r="AE12" i="45"/>
  <c r="AD12" i="45"/>
  <c r="AC12" i="45"/>
  <c r="AB12" i="45"/>
  <c r="AA12" i="45"/>
  <c r="Z12" i="45"/>
  <c r="Y12" i="45"/>
  <c r="X12" i="45"/>
  <c r="W12" i="45"/>
  <c r="V12" i="45"/>
  <c r="R12" i="45"/>
  <c r="S12" i="45" s="1"/>
  <c r="AJ11" i="45"/>
  <c r="AI11" i="45"/>
  <c r="AH11" i="45"/>
  <c r="AG11" i="45"/>
  <c r="AF11" i="45"/>
  <c r="AE11" i="45"/>
  <c r="AD11" i="45"/>
  <c r="AC11" i="45"/>
  <c r="AB11" i="45"/>
  <c r="AA11" i="45"/>
  <c r="Z11" i="45"/>
  <c r="Y11" i="45"/>
  <c r="X11" i="45"/>
  <c r="W11" i="45"/>
  <c r="V11" i="45"/>
  <c r="R11" i="45"/>
  <c r="S11" i="45" s="1"/>
  <c r="AJ10" i="45"/>
  <c r="AI10" i="45"/>
  <c r="AH10" i="45"/>
  <c r="AG10" i="45"/>
  <c r="AF10" i="45"/>
  <c r="AE10" i="45"/>
  <c r="AD10" i="45"/>
  <c r="AC10" i="45"/>
  <c r="AB10" i="45"/>
  <c r="AA10" i="45"/>
  <c r="Z10" i="45"/>
  <c r="Y10" i="45"/>
  <c r="X10" i="45"/>
  <c r="W10" i="45"/>
  <c r="V10" i="45"/>
  <c r="R10" i="45"/>
  <c r="S10" i="45" s="1"/>
  <c r="AJ9" i="45"/>
  <c r="AI9" i="45"/>
  <c r="AH9" i="45"/>
  <c r="AG9" i="45"/>
  <c r="AF9" i="45"/>
  <c r="AE9" i="45"/>
  <c r="AD9" i="45"/>
  <c r="AC9" i="45"/>
  <c r="AB9" i="45"/>
  <c r="AA9" i="45"/>
  <c r="Z9" i="45"/>
  <c r="Y9" i="45"/>
  <c r="X9" i="45"/>
  <c r="W9" i="45"/>
  <c r="V9" i="45"/>
  <c r="R9" i="45"/>
  <c r="S9" i="45" s="1"/>
  <c r="AJ8" i="45"/>
  <c r="AI8" i="45"/>
  <c r="AH8" i="45"/>
  <c r="AG8" i="45"/>
  <c r="AF8" i="45"/>
  <c r="AE8" i="45"/>
  <c r="AD8" i="45"/>
  <c r="AC8" i="45"/>
  <c r="AB8" i="45"/>
  <c r="AA8" i="45"/>
  <c r="Z8" i="45"/>
  <c r="Y8" i="45"/>
  <c r="X8" i="45"/>
  <c r="W8" i="45"/>
  <c r="V8" i="45"/>
  <c r="R8" i="45"/>
  <c r="S8" i="45" s="1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R7" i="45"/>
  <c r="S7" i="45" s="1"/>
  <c r="AJ6" i="45"/>
  <c r="AI6" i="45"/>
  <c r="AH6" i="45"/>
  <c r="AG6" i="45"/>
  <c r="AF6" i="45"/>
  <c r="AE6" i="45"/>
  <c r="AD6" i="45"/>
  <c r="AC6" i="45"/>
  <c r="AB6" i="45"/>
  <c r="AA6" i="45"/>
  <c r="Z6" i="45"/>
  <c r="Y6" i="45"/>
  <c r="X6" i="45"/>
  <c r="W6" i="45"/>
  <c r="V6" i="45"/>
  <c r="R6" i="45"/>
  <c r="S6" i="45" s="1"/>
  <c r="AJ5" i="45"/>
  <c r="AI5" i="45"/>
  <c r="AH5" i="45"/>
  <c r="AG5" i="45"/>
  <c r="AF5" i="45"/>
  <c r="AE5" i="45"/>
  <c r="AD5" i="45"/>
  <c r="AC5" i="45"/>
  <c r="AB5" i="45"/>
  <c r="AA5" i="45"/>
  <c r="Z5" i="45"/>
  <c r="Y5" i="45"/>
  <c r="X5" i="45"/>
  <c r="W5" i="45"/>
  <c r="V5" i="45"/>
  <c r="R5" i="45"/>
  <c r="S5" i="45" s="1"/>
  <c r="AJ4" i="45"/>
  <c r="AI4" i="45"/>
  <c r="AH4" i="45"/>
  <c r="AG4" i="45"/>
  <c r="AF4" i="45"/>
  <c r="AE4" i="45"/>
  <c r="AD4" i="45"/>
  <c r="AC4" i="45"/>
  <c r="AB4" i="45"/>
  <c r="AA4" i="45"/>
  <c r="Z4" i="45"/>
  <c r="Y4" i="45"/>
  <c r="X4" i="45"/>
  <c r="W4" i="45"/>
  <c r="V4" i="45"/>
  <c r="R4" i="45"/>
  <c r="S4" i="45" s="1"/>
  <c r="Q33" i="44"/>
  <c r="BT33" i="44" s="1"/>
  <c r="P33" i="44"/>
  <c r="BS33" i="44" s="1"/>
  <c r="O33" i="44"/>
  <c r="BR33" i="44" s="1"/>
  <c r="N33" i="44"/>
  <c r="BQ33" i="44" s="1"/>
  <c r="M33" i="44"/>
  <c r="BP33" i="44" s="1"/>
  <c r="L33" i="44"/>
  <c r="BO33" i="44" s="1"/>
  <c r="K33" i="44"/>
  <c r="BN33" i="44" s="1"/>
  <c r="J33" i="44"/>
  <c r="BM33" i="44" s="1"/>
  <c r="I33" i="44"/>
  <c r="BL33" i="44" s="1"/>
  <c r="H33" i="44"/>
  <c r="BK33" i="44" s="1"/>
  <c r="G33" i="44"/>
  <c r="BJ33" i="44" s="1"/>
  <c r="F33" i="44"/>
  <c r="BI33" i="44" s="1"/>
  <c r="E33" i="44"/>
  <c r="BH33" i="44" s="1"/>
  <c r="D33" i="44"/>
  <c r="BG33" i="44" s="1"/>
  <c r="C33" i="44"/>
  <c r="BF33" i="44" s="1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V32" i="44"/>
  <c r="R32" i="44"/>
  <c r="S32" i="44" s="1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W31" i="44"/>
  <c r="V31" i="44"/>
  <c r="R31" i="44"/>
  <c r="S31" i="44" s="1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W30" i="44"/>
  <c r="V30" i="44"/>
  <c r="R30" i="44"/>
  <c r="S30" i="44" s="1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W29" i="44"/>
  <c r="V29" i="44"/>
  <c r="R29" i="44"/>
  <c r="S29" i="44" s="1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V28" i="44"/>
  <c r="R28" i="44"/>
  <c r="S28" i="44" s="1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R27" i="44"/>
  <c r="S27" i="44" s="1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V26" i="44"/>
  <c r="R26" i="44"/>
  <c r="S26" i="44" s="1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W25" i="44"/>
  <c r="V25" i="44"/>
  <c r="R25" i="44"/>
  <c r="S25" i="44" s="1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W24" i="44"/>
  <c r="V24" i="44"/>
  <c r="R24" i="44"/>
  <c r="S24" i="44" s="1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W23" i="44"/>
  <c r="V23" i="44"/>
  <c r="R23" i="44"/>
  <c r="S23" i="44" s="1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W22" i="44"/>
  <c r="V22" i="44"/>
  <c r="R22" i="44"/>
  <c r="S22" i="44" s="1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W21" i="44"/>
  <c r="V21" i="44"/>
  <c r="R21" i="44"/>
  <c r="S21" i="44" s="1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W15" i="44"/>
  <c r="V15" i="44"/>
  <c r="R15" i="44"/>
  <c r="S15" i="44" s="1"/>
  <c r="AJ14" i="44"/>
  <c r="AI14" i="44"/>
  <c r="AH14" i="44"/>
  <c r="AG14" i="44"/>
  <c r="AF14" i="44"/>
  <c r="AE14" i="44"/>
  <c r="AD14" i="44"/>
  <c r="AC14" i="44"/>
  <c r="AB14" i="44"/>
  <c r="AA14" i="44"/>
  <c r="Z14" i="44"/>
  <c r="Y14" i="44"/>
  <c r="X14" i="44"/>
  <c r="W14" i="44"/>
  <c r="V14" i="44"/>
  <c r="R14" i="44"/>
  <c r="S14" i="44" s="1"/>
  <c r="AJ13" i="44"/>
  <c r="AI13" i="44"/>
  <c r="AH13" i="44"/>
  <c r="AG13" i="44"/>
  <c r="AF13" i="44"/>
  <c r="AE13" i="44"/>
  <c r="AD13" i="44"/>
  <c r="AC13" i="44"/>
  <c r="AB13" i="44"/>
  <c r="AA13" i="44"/>
  <c r="Z13" i="44"/>
  <c r="Y13" i="44"/>
  <c r="X13" i="44"/>
  <c r="W13" i="44"/>
  <c r="V13" i="44"/>
  <c r="R13" i="44"/>
  <c r="S13" i="44" s="1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R12" i="44"/>
  <c r="S12" i="44" s="1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V11" i="44"/>
  <c r="R11" i="44"/>
  <c r="S11" i="44" s="1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V10" i="44"/>
  <c r="R10" i="44"/>
  <c r="S10" i="44" s="1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V9" i="44"/>
  <c r="R9" i="44"/>
  <c r="S9" i="44" s="1"/>
  <c r="AJ8" i="44"/>
  <c r="AI8" i="44"/>
  <c r="AH8" i="44"/>
  <c r="AG8" i="44"/>
  <c r="AF8" i="44"/>
  <c r="AE8" i="44"/>
  <c r="AD8" i="44"/>
  <c r="AC8" i="44"/>
  <c r="AB8" i="44"/>
  <c r="AA8" i="44"/>
  <c r="Z8" i="44"/>
  <c r="Y8" i="44"/>
  <c r="X8" i="44"/>
  <c r="W8" i="44"/>
  <c r="V8" i="44"/>
  <c r="R8" i="44"/>
  <c r="S8" i="44" s="1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R7" i="44"/>
  <c r="S7" i="44" s="1"/>
  <c r="AJ6" i="44"/>
  <c r="AI6" i="44"/>
  <c r="AH6" i="44"/>
  <c r="AG6" i="44"/>
  <c r="AF6" i="44"/>
  <c r="AE6" i="44"/>
  <c r="AD6" i="44"/>
  <c r="AC6" i="44"/>
  <c r="AB6" i="44"/>
  <c r="AA6" i="44"/>
  <c r="Z6" i="44"/>
  <c r="Y6" i="44"/>
  <c r="X6" i="44"/>
  <c r="W6" i="44"/>
  <c r="V6" i="44"/>
  <c r="R6" i="44"/>
  <c r="S6" i="44" s="1"/>
  <c r="AJ5" i="44"/>
  <c r="AI5" i="44"/>
  <c r="AH5" i="44"/>
  <c r="AG5" i="44"/>
  <c r="AF5" i="44"/>
  <c r="AE5" i="44"/>
  <c r="AD5" i="44"/>
  <c r="AC5" i="44"/>
  <c r="AB5" i="44"/>
  <c r="AA5" i="44"/>
  <c r="Z5" i="44"/>
  <c r="Y5" i="44"/>
  <c r="X5" i="44"/>
  <c r="W5" i="44"/>
  <c r="V5" i="44"/>
  <c r="R5" i="44"/>
  <c r="S5" i="44" s="1"/>
  <c r="AJ4" i="44"/>
  <c r="AI4" i="44"/>
  <c r="AH4" i="44"/>
  <c r="AG4" i="44"/>
  <c r="AF4" i="44"/>
  <c r="AE4" i="44"/>
  <c r="AD4" i="44"/>
  <c r="AC4" i="44"/>
  <c r="AB4" i="44"/>
  <c r="AA4" i="44"/>
  <c r="Z4" i="44"/>
  <c r="Y4" i="44"/>
  <c r="X4" i="44"/>
  <c r="W4" i="44"/>
  <c r="V4" i="44"/>
  <c r="R4" i="44"/>
  <c r="S4" i="44" s="1"/>
  <c r="Q33" i="43"/>
  <c r="BT33" i="43" s="1"/>
  <c r="P33" i="43"/>
  <c r="BS33" i="43" s="1"/>
  <c r="O33" i="43"/>
  <c r="BR33" i="43" s="1"/>
  <c r="N33" i="43"/>
  <c r="BQ33" i="43" s="1"/>
  <c r="M33" i="43"/>
  <c r="BP33" i="43" s="1"/>
  <c r="L33" i="43"/>
  <c r="BO33" i="43" s="1"/>
  <c r="K33" i="43"/>
  <c r="BN33" i="43" s="1"/>
  <c r="J33" i="43"/>
  <c r="BM33" i="43" s="1"/>
  <c r="I33" i="43"/>
  <c r="BL33" i="43" s="1"/>
  <c r="H33" i="43"/>
  <c r="BK33" i="43" s="1"/>
  <c r="G33" i="43"/>
  <c r="BJ33" i="43" s="1"/>
  <c r="F33" i="43"/>
  <c r="BI33" i="43" s="1"/>
  <c r="E33" i="43"/>
  <c r="BH33" i="43" s="1"/>
  <c r="D33" i="43"/>
  <c r="BG33" i="43" s="1"/>
  <c r="C33" i="43"/>
  <c r="BF33" i="43" s="1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R32" i="43"/>
  <c r="S32" i="43" s="1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R31" i="43"/>
  <c r="S31" i="43" s="1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R30" i="43"/>
  <c r="S30" i="43" s="1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R29" i="43"/>
  <c r="S29" i="43" s="1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R28" i="43"/>
  <c r="S28" i="43" s="1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W27" i="43"/>
  <c r="V27" i="43"/>
  <c r="R27" i="43"/>
  <c r="S27" i="43" s="1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R26" i="43"/>
  <c r="S26" i="43" s="1"/>
  <c r="AJ25" i="43"/>
  <c r="AI25" i="43"/>
  <c r="AH25" i="43"/>
  <c r="AG25" i="43"/>
  <c r="AF25" i="43"/>
  <c r="AE25" i="43"/>
  <c r="AD25" i="43"/>
  <c r="AC25" i="43"/>
  <c r="AB25" i="43"/>
  <c r="AA25" i="43"/>
  <c r="Z25" i="43"/>
  <c r="Y25" i="43"/>
  <c r="X25" i="43"/>
  <c r="W25" i="43"/>
  <c r="V25" i="43"/>
  <c r="R25" i="43"/>
  <c r="S25" i="43" s="1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R24" i="43"/>
  <c r="S24" i="43" s="1"/>
  <c r="AJ23" i="43"/>
  <c r="AI23" i="43"/>
  <c r="AH23" i="43"/>
  <c r="AG23" i="43"/>
  <c r="AF23" i="43"/>
  <c r="AE23" i="43"/>
  <c r="AD23" i="43"/>
  <c r="AC23" i="43"/>
  <c r="AB23" i="43"/>
  <c r="AA23" i="43"/>
  <c r="Z23" i="43"/>
  <c r="Y23" i="43"/>
  <c r="X23" i="43"/>
  <c r="W23" i="43"/>
  <c r="V23" i="43"/>
  <c r="R23" i="43"/>
  <c r="S23" i="43" s="1"/>
  <c r="AJ22" i="43"/>
  <c r="AI22" i="43"/>
  <c r="AH22" i="43"/>
  <c r="AG22" i="43"/>
  <c r="AF22" i="43"/>
  <c r="AE22" i="43"/>
  <c r="AD22" i="43"/>
  <c r="AC22" i="43"/>
  <c r="AB22" i="43"/>
  <c r="AA22" i="43"/>
  <c r="Z22" i="43"/>
  <c r="Y22" i="43"/>
  <c r="X22" i="43"/>
  <c r="W22" i="43"/>
  <c r="V22" i="43"/>
  <c r="R22" i="43"/>
  <c r="S22" i="43" s="1"/>
  <c r="AJ21" i="43"/>
  <c r="AI21" i="43"/>
  <c r="AH21" i="43"/>
  <c r="AG21" i="43"/>
  <c r="AF21" i="43"/>
  <c r="AE21" i="43"/>
  <c r="AD21" i="43"/>
  <c r="AC21" i="43"/>
  <c r="AB21" i="43"/>
  <c r="AA21" i="43"/>
  <c r="Z21" i="43"/>
  <c r="Y21" i="43"/>
  <c r="X21" i="43"/>
  <c r="W21" i="43"/>
  <c r="V21" i="43"/>
  <c r="R21" i="43"/>
  <c r="S21" i="43" s="1"/>
  <c r="Q16" i="43"/>
  <c r="P16" i="43"/>
  <c r="O16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AJ15" i="43"/>
  <c r="AI15" i="43"/>
  <c r="AH15" i="43"/>
  <c r="AG15" i="43"/>
  <c r="AF15" i="43"/>
  <c r="AE15" i="43"/>
  <c r="AD15" i="43"/>
  <c r="AC15" i="43"/>
  <c r="AB15" i="43"/>
  <c r="AA15" i="43"/>
  <c r="Z15" i="43"/>
  <c r="Y15" i="43"/>
  <c r="X15" i="43"/>
  <c r="W15" i="43"/>
  <c r="V15" i="43"/>
  <c r="R15" i="43"/>
  <c r="S15" i="43" s="1"/>
  <c r="AJ14" i="43"/>
  <c r="AI14" i="43"/>
  <c r="AH14" i="43"/>
  <c r="AG14" i="43"/>
  <c r="AF14" i="43"/>
  <c r="AE14" i="43"/>
  <c r="AD14" i="43"/>
  <c r="AC14" i="43"/>
  <c r="AB14" i="43"/>
  <c r="AA14" i="43"/>
  <c r="Z14" i="43"/>
  <c r="Y14" i="43"/>
  <c r="X14" i="43"/>
  <c r="W14" i="43"/>
  <c r="V14" i="43"/>
  <c r="R14" i="43"/>
  <c r="S14" i="43" s="1"/>
  <c r="AJ13" i="43"/>
  <c r="AI13" i="43"/>
  <c r="AH13" i="43"/>
  <c r="AG13" i="43"/>
  <c r="AF13" i="43"/>
  <c r="AE13" i="43"/>
  <c r="AD13" i="43"/>
  <c r="AC13" i="43"/>
  <c r="AB13" i="43"/>
  <c r="AA13" i="43"/>
  <c r="Z13" i="43"/>
  <c r="Y13" i="43"/>
  <c r="X13" i="43"/>
  <c r="W13" i="43"/>
  <c r="V13" i="43"/>
  <c r="R13" i="43"/>
  <c r="S13" i="43" s="1"/>
  <c r="AJ12" i="43"/>
  <c r="AI12" i="43"/>
  <c r="AH12" i="43"/>
  <c r="AG12" i="43"/>
  <c r="AF12" i="43"/>
  <c r="AE12" i="43"/>
  <c r="AD12" i="43"/>
  <c r="AC12" i="43"/>
  <c r="AB12" i="43"/>
  <c r="AA12" i="43"/>
  <c r="Z12" i="43"/>
  <c r="Y12" i="43"/>
  <c r="X12" i="43"/>
  <c r="W12" i="43"/>
  <c r="V12" i="43"/>
  <c r="R12" i="43"/>
  <c r="S12" i="43" s="1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R11" i="43"/>
  <c r="S11" i="43" s="1"/>
  <c r="AJ10" i="43"/>
  <c r="AI10" i="43"/>
  <c r="AH10" i="43"/>
  <c r="AG10" i="43"/>
  <c r="AF10" i="43"/>
  <c r="AE10" i="43"/>
  <c r="AD10" i="43"/>
  <c r="AC10" i="43"/>
  <c r="AB10" i="43"/>
  <c r="AA10" i="43"/>
  <c r="Z10" i="43"/>
  <c r="Y10" i="43"/>
  <c r="X10" i="43"/>
  <c r="W10" i="43"/>
  <c r="V10" i="43"/>
  <c r="R10" i="43"/>
  <c r="S10" i="43" s="1"/>
  <c r="AJ9" i="43"/>
  <c r="AI9" i="43"/>
  <c r="AH9" i="43"/>
  <c r="AG9" i="43"/>
  <c r="AF9" i="43"/>
  <c r="AE9" i="43"/>
  <c r="AD9" i="43"/>
  <c r="AC9" i="43"/>
  <c r="AB9" i="43"/>
  <c r="AA9" i="43"/>
  <c r="Z9" i="43"/>
  <c r="Y9" i="43"/>
  <c r="X9" i="43"/>
  <c r="W9" i="43"/>
  <c r="V9" i="43"/>
  <c r="R9" i="43"/>
  <c r="S9" i="43" s="1"/>
  <c r="AJ8" i="43"/>
  <c r="AI8" i="43"/>
  <c r="AH8" i="43"/>
  <c r="AG8" i="43"/>
  <c r="AF8" i="43"/>
  <c r="AE8" i="43"/>
  <c r="AD8" i="43"/>
  <c r="AC8" i="43"/>
  <c r="AB8" i="43"/>
  <c r="AA8" i="43"/>
  <c r="Z8" i="43"/>
  <c r="Y8" i="43"/>
  <c r="X8" i="43"/>
  <c r="W8" i="43"/>
  <c r="V8" i="43"/>
  <c r="R8" i="43"/>
  <c r="S8" i="43" s="1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R7" i="43"/>
  <c r="S7" i="43" s="1"/>
  <c r="AJ6" i="43"/>
  <c r="AI6" i="43"/>
  <c r="AH6" i="43"/>
  <c r="AG6" i="43"/>
  <c r="AF6" i="43"/>
  <c r="AE6" i="43"/>
  <c r="AD6" i="43"/>
  <c r="AC6" i="43"/>
  <c r="AB6" i="43"/>
  <c r="AA6" i="43"/>
  <c r="Z6" i="43"/>
  <c r="Y6" i="43"/>
  <c r="X6" i="43"/>
  <c r="W6" i="43"/>
  <c r="V6" i="43"/>
  <c r="R6" i="43"/>
  <c r="S6" i="43" s="1"/>
  <c r="AJ5" i="43"/>
  <c r="AI5" i="43"/>
  <c r="AH5" i="43"/>
  <c r="AG5" i="43"/>
  <c r="AF5" i="43"/>
  <c r="AE5" i="43"/>
  <c r="AD5" i="43"/>
  <c r="AC5" i="43"/>
  <c r="AB5" i="43"/>
  <c r="AA5" i="43"/>
  <c r="Z5" i="43"/>
  <c r="Y5" i="43"/>
  <c r="X5" i="43"/>
  <c r="W5" i="43"/>
  <c r="V5" i="43"/>
  <c r="R5" i="43"/>
  <c r="S5" i="43" s="1"/>
  <c r="AJ4" i="43"/>
  <c r="AI4" i="43"/>
  <c r="AH4" i="43"/>
  <c r="AG4" i="43"/>
  <c r="AF4" i="43"/>
  <c r="AE4" i="43"/>
  <c r="AD4" i="43"/>
  <c r="AC4" i="43"/>
  <c r="AB4" i="43"/>
  <c r="AA4" i="43"/>
  <c r="Z4" i="43"/>
  <c r="Y4" i="43"/>
  <c r="X4" i="43"/>
  <c r="W4" i="43"/>
  <c r="V4" i="43"/>
  <c r="R4" i="43"/>
  <c r="S4" i="43" s="1"/>
  <c r="Q33" i="42"/>
  <c r="BT33" i="42" s="1"/>
  <c r="P33" i="42"/>
  <c r="BS33" i="42" s="1"/>
  <c r="O33" i="42"/>
  <c r="BR33" i="42" s="1"/>
  <c r="N33" i="42"/>
  <c r="BQ33" i="42" s="1"/>
  <c r="M33" i="42"/>
  <c r="BP33" i="42" s="1"/>
  <c r="L33" i="42"/>
  <c r="BO33" i="42" s="1"/>
  <c r="K33" i="42"/>
  <c r="BN33" i="42" s="1"/>
  <c r="J33" i="42"/>
  <c r="BM33" i="42" s="1"/>
  <c r="I33" i="42"/>
  <c r="BL33" i="42" s="1"/>
  <c r="H33" i="42"/>
  <c r="BK33" i="42" s="1"/>
  <c r="G33" i="42"/>
  <c r="BJ33" i="42" s="1"/>
  <c r="F33" i="42"/>
  <c r="BI33" i="42" s="1"/>
  <c r="E33" i="42"/>
  <c r="BH33" i="42" s="1"/>
  <c r="D33" i="42"/>
  <c r="BG33" i="42" s="1"/>
  <c r="C33" i="42"/>
  <c r="BF33" i="42" s="1"/>
  <c r="AJ32" i="42"/>
  <c r="AI32" i="42"/>
  <c r="AH32" i="42"/>
  <c r="AG32" i="42"/>
  <c r="AF32" i="42"/>
  <c r="AE32" i="42"/>
  <c r="AD32" i="42"/>
  <c r="AC32" i="42"/>
  <c r="AB32" i="42"/>
  <c r="AA32" i="42"/>
  <c r="Z32" i="42"/>
  <c r="Y32" i="42"/>
  <c r="X32" i="42"/>
  <c r="W32" i="42"/>
  <c r="V32" i="42"/>
  <c r="R32" i="42"/>
  <c r="AJ31" i="42"/>
  <c r="AI31" i="42"/>
  <c r="AH31" i="42"/>
  <c r="AG31" i="42"/>
  <c r="AF31" i="42"/>
  <c r="AE31" i="42"/>
  <c r="AD31" i="42"/>
  <c r="AC31" i="42"/>
  <c r="AB31" i="42"/>
  <c r="AA31" i="42"/>
  <c r="Z31" i="42"/>
  <c r="Y31" i="42"/>
  <c r="X31" i="42"/>
  <c r="W31" i="42"/>
  <c r="V31" i="42"/>
  <c r="R31" i="42"/>
  <c r="AJ30" i="42"/>
  <c r="AI30" i="42"/>
  <c r="AH30" i="42"/>
  <c r="AG30" i="42"/>
  <c r="AF30" i="42"/>
  <c r="AE30" i="42"/>
  <c r="AD30" i="42"/>
  <c r="AC30" i="42"/>
  <c r="AB30" i="42"/>
  <c r="AA30" i="42"/>
  <c r="Z30" i="42"/>
  <c r="Y30" i="42"/>
  <c r="X30" i="42"/>
  <c r="W30" i="42"/>
  <c r="V30" i="42"/>
  <c r="R30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V29" i="42"/>
  <c r="R29" i="42"/>
  <c r="AJ28" i="42"/>
  <c r="AI28" i="42"/>
  <c r="AH28" i="42"/>
  <c r="AG28" i="42"/>
  <c r="AF28" i="42"/>
  <c r="AE28" i="42"/>
  <c r="AD28" i="42"/>
  <c r="AC28" i="42"/>
  <c r="AB28" i="42"/>
  <c r="AA28" i="42"/>
  <c r="Z28" i="42"/>
  <c r="Y28" i="42"/>
  <c r="X28" i="42"/>
  <c r="W28" i="42"/>
  <c r="V28" i="42"/>
  <c r="R28" i="42"/>
  <c r="AJ27" i="42"/>
  <c r="AI27" i="42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R27" i="42"/>
  <c r="AJ26" i="42"/>
  <c r="AI26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R26" i="42"/>
  <c r="AJ25" i="42"/>
  <c r="AI25" i="42"/>
  <c r="AH25" i="42"/>
  <c r="AG25" i="42"/>
  <c r="AF25" i="42"/>
  <c r="AE25" i="42"/>
  <c r="AD25" i="42"/>
  <c r="AC25" i="42"/>
  <c r="AB25" i="42"/>
  <c r="AA25" i="42"/>
  <c r="Z25" i="42"/>
  <c r="Y25" i="42"/>
  <c r="X25" i="42"/>
  <c r="W25" i="42"/>
  <c r="V25" i="42"/>
  <c r="R25" i="42"/>
  <c r="AJ24" i="42"/>
  <c r="AI24" i="42"/>
  <c r="AH24" i="42"/>
  <c r="AG24" i="42"/>
  <c r="AF24" i="42"/>
  <c r="AE24" i="42"/>
  <c r="AD24" i="42"/>
  <c r="AC24" i="42"/>
  <c r="AB24" i="42"/>
  <c r="AA24" i="42"/>
  <c r="Z24" i="42"/>
  <c r="Y24" i="42"/>
  <c r="X24" i="42"/>
  <c r="W24" i="42"/>
  <c r="V24" i="42"/>
  <c r="R24" i="42"/>
  <c r="AJ23" i="42"/>
  <c r="AI23" i="42"/>
  <c r="AH23" i="42"/>
  <c r="AG23" i="42"/>
  <c r="AF23" i="42"/>
  <c r="AE23" i="42"/>
  <c r="AD23" i="42"/>
  <c r="AC23" i="42"/>
  <c r="AB23" i="42"/>
  <c r="AA23" i="42"/>
  <c r="Z23" i="42"/>
  <c r="Y23" i="42"/>
  <c r="X23" i="42"/>
  <c r="W23" i="42"/>
  <c r="V23" i="42"/>
  <c r="R23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W22" i="42"/>
  <c r="V22" i="42"/>
  <c r="R22" i="42"/>
  <c r="AJ21" i="42"/>
  <c r="AI21" i="42"/>
  <c r="AH21" i="42"/>
  <c r="AG21" i="42"/>
  <c r="AG33" i="42" s="1"/>
  <c r="AF21" i="42"/>
  <c r="AE21" i="42"/>
  <c r="AD21" i="42"/>
  <c r="AC21" i="42"/>
  <c r="AC33" i="42" s="1"/>
  <c r="AB21" i="42"/>
  <c r="AA21" i="42"/>
  <c r="Z21" i="42"/>
  <c r="Y21" i="42"/>
  <c r="X21" i="42"/>
  <c r="W21" i="42"/>
  <c r="V21" i="42"/>
  <c r="R21" i="42"/>
  <c r="Q16" i="42"/>
  <c r="P16" i="42"/>
  <c r="O16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AJ15" i="42"/>
  <c r="AI15" i="42"/>
  <c r="AH15" i="42"/>
  <c r="AG15" i="42"/>
  <c r="AF15" i="42"/>
  <c r="AE15" i="42"/>
  <c r="AD15" i="42"/>
  <c r="AC15" i="42"/>
  <c r="AB15" i="42"/>
  <c r="AA15" i="42"/>
  <c r="Z15" i="42"/>
  <c r="Y15" i="42"/>
  <c r="X15" i="42"/>
  <c r="W15" i="42"/>
  <c r="V15" i="42"/>
  <c r="R15" i="42"/>
  <c r="AJ14" i="42"/>
  <c r="AI14" i="42"/>
  <c r="AH14" i="42"/>
  <c r="AG14" i="42"/>
  <c r="AF14" i="42"/>
  <c r="AE14" i="42"/>
  <c r="AD14" i="42"/>
  <c r="AC14" i="42"/>
  <c r="AB14" i="42"/>
  <c r="AA14" i="42"/>
  <c r="Z14" i="42"/>
  <c r="Y14" i="42"/>
  <c r="X14" i="42"/>
  <c r="W14" i="42"/>
  <c r="V14" i="42"/>
  <c r="R14" i="42"/>
  <c r="AJ13" i="42"/>
  <c r="AI13" i="42"/>
  <c r="AH13" i="42"/>
  <c r="AG13" i="42"/>
  <c r="AF13" i="42"/>
  <c r="AE13" i="42"/>
  <c r="AD13" i="42"/>
  <c r="AC13" i="42"/>
  <c r="AB13" i="42"/>
  <c r="AA13" i="42"/>
  <c r="Z13" i="42"/>
  <c r="Y13" i="42"/>
  <c r="X13" i="42"/>
  <c r="W13" i="42"/>
  <c r="V13" i="42"/>
  <c r="R13" i="42"/>
  <c r="AJ12" i="42"/>
  <c r="AI12" i="42"/>
  <c r="AH12" i="42"/>
  <c r="AG12" i="42"/>
  <c r="AF12" i="42"/>
  <c r="AE12" i="42"/>
  <c r="AD12" i="42"/>
  <c r="AC12" i="42"/>
  <c r="AB12" i="42"/>
  <c r="AA12" i="42"/>
  <c r="Z12" i="42"/>
  <c r="Y12" i="42"/>
  <c r="X12" i="42"/>
  <c r="W12" i="42"/>
  <c r="V12" i="42"/>
  <c r="R12" i="42"/>
  <c r="AJ11" i="42"/>
  <c r="AI11" i="42"/>
  <c r="AH11" i="42"/>
  <c r="AG11" i="42"/>
  <c r="AF11" i="42"/>
  <c r="AE11" i="42"/>
  <c r="AD11" i="42"/>
  <c r="AC11" i="42"/>
  <c r="AB11" i="42"/>
  <c r="AA11" i="42"/>
  <c r="Z11" i="42"/>
  <c r="Y11" i="42"/>
  <c r="X11" i="42"/>
  <c r="W11" i="42"/>
  <c r="V11" i="42"/>
  <c r="R11" i="42"/>
  <c r="AJ10" i="42"/>
  <c r="AI10" i="42"/>
  <c r="AH10" i="42"/>
  <c r="AG10" i="42"/>
  <c r="AF10" i="42"/>
  <c r="AE10" i="42"/>
  <c r="AD10" i="42"/>
  <c r="AC10" i="42"/>
  <c r="AB10" i="42"/>
  <c r="AA10" i="42"/>
  <c r="Z10" i="42"/>
  <c r="Y10" i="42"/>
  <c r="X10" i="42"/>
  <c r="W10" i="42"/>
  <c r="V10" i="42"/>
  <c r="R10" i="42"/>
  <c r="AJ9" i="42"/>
  <c r="AI9" i="42"/>
  <c r="AH9" i="42"/>
  <c r="AG9" i="42"/>
  <c r="AF9" i="42"/>
  <c r="AE9" i="42"/>
  <c r="AD9" i="42"/>
  <c r="AC9" i="42"/>
  <c r="AB9" i="42"/>
  <c r="AA9" i="42"/>
  <c r="Z9" i="42"/>
  <c r="Y9" i="42"/>
  <c r="X9" i="42"/>
  <c r="W9" i="42"/>
  <c r="V9" i="42"/>
  <c r="R9" i="42"/>
  <c r="AJ8" i="42"/>
  <c r="AI8" i="42"/>
  <c r="AH8" i="42"/>
  <c r="AG8" i="42"/>
  <c r="AF8" i="42"/>
  <c r="AE8" i="42"/>
  <c r="AD8" i="42"/>
  <c r="AC8" i="42"/>
  <c r="AB8" i="42"/>
  <c r="AA8" i="42"/>
  <c r="Z8" i="42"/>
  <c r="Y8" i="42"/>
  <c r="X8" i="42"/>
  <c r="W8" i="42"/>
  <c r="V8" i="42"/>
  <c r="R8" i="42"/>
  <c r="AJ7" i="42"/>
  <c r="AI7" i="42"/>
  <c r="AH7" i="42"/>
  <c r="AG7" i="42"/>
  <c r="AF7" i="42"/>
  <c r="AE7" i="42"/>
  <c r="AD7" i="42"/>
  <c r="AC7" i="42"/>
  <c r="AB7" i="42"/>
  <c r="AA7" i="42"/>
  <c r="Z7" i="42"/>
  <c r="Y7" i="42"/>
  <c r="X7" i="42"/>
  <c r="W7" i="42"/>
  <c r="V7" i="42"/>
  <c r="R7" i="42"/>
  <c r="AJ6" i="42"/>
  <c r="AI6" i="42"/>
  <c r="AH6" i="42"/>
  <c r="AG6" i="42"/>
  <c r="AF6" i="42"/>
  <c r="AE6" i="42"/>
  <c r="AD6" i="42"/>
  <c r="AC6" i="42"/>
  <c r="AB6" i="42"/>
  <c r="AA6" i="42"/>
  <c r="Z6" i="42"/>
  <c r="Y6" i="42"/>
  <c r="X6" i="42"/>
  <c r="W6" i="42"/>
  <c r="V6" i="42"/>
  <c r="R6" i="42"/>
  <c r="AJ5" i="42"/>
  <c r="AI5" i="42"/>
  <c r="AH5" i="42"/>
  <c r="AG5" i="42"/>
  <c r="AF5" i="42"/>
  <c r="AE5" i="42"/>
  <c r="AD5" i="42"/>
  <c r="AC5" i="42"/>
  <c r="AB5" i="42"/>
  <c r="AA5" i="42"/>
  <c r="Z5" i="42"/>
  <c r="Y5" i="42"/>
  <c r="X5" i="42"/>
  <c r="W5" i="42"/>
  <c r="V5" i="42"/>
  <c r="R5" i="42"/>
  <c r="AJ4" i="42"/>
  <c r="AJ16" i="42" s="1"/>
  <c r="AI4" i="42"/>
  <c r="AH4" i="42"/>
  <c r="AG4" i="42"/>
  <c r="AF4" i="42"/>
  <c r="AF16" i="42" s="1"/>
  <c r="AE4" i="42"/>
  <c r="AD4" i="42"/>
  <c r="AC4" i="42"/>
  <c r="AB4" i="42"/>
  <c r="AB16" i="42" s="1"/>
  <c r="AA4" i="42"/>
  <c r="Z4" i="42"/>
  <c r="Y4" i="42"/>
  <c r="X4" i="42"/>
  <c r="W4" i="42"/>
  <c r="V4" i="42"/>
  <c r="R4" i="42"/>
  <c r="Q33" i="41"/>
  <c r="BT33" i="41" s="1"/>
  <c r="P33" i="41"/>
  <c r="BS33" i="41" s="1"/>
  <c r="O33" i="41"/>
  <c r="BR33" i="41" s="1"/>
  <c r="N33" i="41"/>
  <c r="BQ33" i="41" s="1"/>
  <c r="M33" i="41"/>
  <c r="BP33" i="41" s="1"/>
  <c r="L33" i="41"/>
  <c r="BO33" i="41" s="1"/>
  <c r="K33" i="41"/>
  <c r="BN33" i="41" s="1"/>
  <c r="J33" i="41"/>
  <c r="BM33" i="41" s="1"/>
  <c r="I33" i="41"/>
  <c r="BL33" i="41" s="1"/>
  <c r="H33" i="41"/>
  <c r="BK33" i="41" s="1"/>
  <c r="G33" i="41"/>
  <c r="BJ33" i="41" s="1"/>
  <c r="F33" i="41"/>
  <c r="BI33" i="41" s="1"/>
  <c r="E33" i="41"/>
  <c r="BH33" i="41" s="1"/>
  <c r="D33" i="41"/>
  <c r="BG33" i="41" s="1"/>
  <c r="C33" i="41"/>
  <c r="BF33" i="41" s="1"/>
  <c r="AJ32" i="41"/>
  <c r="AI32" i="41"/>
  <c r="AH32" i="41"/>
  <c r="AG32" i="41"/>
  <c r="AF32" i="41"/>
  <c r="AE32" i="41"/>
  <c r="AD32" i="41"/>
  <c r="AC32" i="41"/>
  <c r="AB32" i="41"/>
  <c r="AA32" i="41"/>
  <c r="Z32" i="41"/>
  <c r="Y32" i="41"/>
  <c r="X32" i="41"/>
  <c r="W32" i="41"/>
  <c r="V32" i="41"/>
  <c r="R32" i="41"/>
  <c r="S32" i="41" s="1"/>
  <c r="AJ31" i="41"/>
  <c r="AI31" i="41"/>
  <c r="AH31" i="41"/>
  <c r="AG31" i="41"/>
  <c r="AF31" i="41"/>
  <c r="AE31" i="41"/>
  <c r="AD31" i="41"/>
  <c r="AC31" i="41"/>
  <c r="AB31" i="41"/>
  <c r="AA31" i="41"/>
  <c r="Z31" i="41"/>
  <c r="Y31" i="41"/>
  <c r="X31" i="41"/>
  <c r="W31" i="41"/>
  <c r="V31" i="41"/>
  <c r="R31" i="41"/>
  <c r="S31" i="41" s="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R30" i="41"/>
  <c r="S30" i="41" s="1"/>
  <c r="AJ29" i="41"/>
  <c r="AI29" i="41"/>
  <c r="AH29" i="41"/>
  <c r="AG29" i="41"/>
  <c r="AF29" i="41"/>
  <c r="AE29" i="41"/>
  <c r="AD29" i="41"/>
  <c r="AC29" i="41"/>
  <c r="AB29" i="41"/>
  <c r="AA29" i="41"/>
  <c r="Z29" i="41"/>
  <c r="Y29" i="41"/>
  <c r="X29" i="41"/>
  <c r="W29" i="41"/>
  <c r="V29" i="41"/>
  <c r="R29" i="41"/>
  <c r="S29" i="41" s="1"/>
  <c r="AJ28" i="41"/>
  <c r="AI28" i="41"/>
  <c r="AH28" i="41"/>
  <c r="AG28" i="41"/>
  <c r="AF28" i="41"/>
  <c r="AE28" i="41"/>
  <c r="AD28" i="41"/>
  <c r="AC28" i="41"/>
  <c r="AB28" i="41"/>
  <c r="AA28" i="41"/>
  <c r="Z28" i="41"/>
  <c r="Y28" i="41"/>
  <c r="X28" i="41"/>
  <c r="W28" i="41"/>
  <c r="V28" i="41"/>
  <c r="R28" i="41"/>
  <c r="S28" i="41" s="1"/>
  <c r="AJ27" i="41"/>
  <c r="AI27" i="41"/>
  <c r="AH27" i="41"/>
  <c r="AG27" i="41"/>
  <c r="AF27" i="41"/>
  <c r="AE27" i="41"/>
  <c r="AD27" i="41"/>
  <c r="AC27" i="41"/>
  <c r="AB27" i="41"/>
  <c r="AA27" i="41"/>
  <c r="Z27" i="41"/>
  <c r="Y27" i="41"/>
  <c r="X27" i="41"/>
  <c r="W27" i="41"/>
  <c r="V27" i="41"/>
  <c r="R27" i="41"/>
  <c r="S27" i="41" s="1"/>
  <c r="AJ26" i="41"/>
  <c r="AI26" i="41"/>
  <c r="AH26" i="41"/>
  <c r="AG26" i="41"/>
  <c r="AF26" i="41"/>
  <c r="AE26" i="41"/>
  <c r="AD26" i="41"/>
  <c r="AC26" i="41"/>
  <c r="AB26" i="41"/>
  <c r="AA26" i="41"/>
  <c r="Z26" i="41"/>
  <c r="Y26" i="41"/>
  <c r="X26" i="41"/>
  <c r="W26" i="41"/>
  <c r="V26" i="41"/>
  <c r="R26" i="41"/>
  <c r="S26" i="41" s="1"/>
  <c r="AJ25" i="41"/>
  <c r="AI25" i="41"/>
  <c r="AH25" i="41"/>
  <c r="AG25" i="41"/>
  <c r="AF25" i="41"/>
  <c r="AE25" i="41"/>
  <c r="AD25" i="41"/>
  <c r="AC25" i="41"/>
  <c r="AB25" i="41"/>
  <c r="AA25" i="41"/>
  <c r="Z25" i="41"/>
  <c r="Y25" i="41"/>
  <c r="X25" i="41"/>
  <c r="W25" i="41"/>
  <c r="V25" i="41"/>
  <c r="R25" i="41"/>
  <c r="S25" i="41" s="1"/>
  <c r="AJ24" i="41"/>
  <c r="AI24" i="41"/>
  <c r="AH24" i="41"/>
  <c r="AG24" i="41"/>
  <c r="AF24" i="41"/>
  <c r="AE24" i="41"/>
  <c r="AD24" i="41"/>
  <c r="AC24" i="41"/>
  <c r="AB24" i="41"/>
  <c r="AA24" i="41"/>
  <c r="Z24" i="41"/>
  <c r="Y24" i="41"/>
  <c r="X24" i="41"/>
  <c r="W24" i="41"/>
  <c r="V24" i="41"/>
  <c r="R24" i="41"/>
  <c r="S24" i="41" s="1"/>
  <c r="AJ23" i="41"/>
  <c r="AI23" i="41"/>
  <c r="AH23" i="41"/>
  <c r="AG23" i="41"/>
  <c r="AF23" i="41"/>
  <c r="AE23" i="41"/>
  <c r="AD23" i="41"/>
  <c r="AC23" i="41"/>
  <c r="AB23" i="41"/>
  <c r="AA23" i="41"/>
  <c r="Z23" i="41"/>
  <c r="Y23" i="41"/>
  <c r="X23" i="41"/>
  <c r="W23" i="41"/>
  <c r="V23" i="41"/>
  <c r="R23" i="41"/>
  <c r="S23" i="41" s="1"/>
  <c r="AJ22" i="41"/>
  <c r="AI22" i="41"/>
  <c r="AH22" i="41"/>
  <c r="AG22" i="41"/>
  <c r="AF22" i="41"/>
  <c r="AE22" i="41"/>
  <c r="AD22" i="41"/>
  <c r="AC22" i="41"/>
  <c r="AB22" i="41"/>
  <c r="AA22" i="41"/>
  <c r="Z22" i="41"/>
  <c r="Y22" i="41"/>
  <c r="X22" i="41"/>
  <c r="W22" i="41"/>
  <c r="V22" i="41"/>
  <c r="R22" i="41"/>
  <c r="S22" i="41" s="1"/>
  <c r="AJ21" i="41"/>
  <c r="AI21" i="41"/>
  <c r="AH21" i="41"/>
  <c r="AG21" i="41"/>
  <c r="AF21" i="41"/>
  <c r="AE21" i="41"/>
  <c r="AD21" i="41"/>
  <c r="AC21" i="41"/>
  <c r="AB21" i="41"/>
  <c r="AA21" i="41"/>
  <c r="Z21" i="41"/>
  <c r="Y21" i="41"/>
  <c r="X21" i="41"/>
  <c r="W21" i="41"/>
  <c r="V21" i="41"/>
  <c r="R21" i="41"/>
  <c r="S21" i="41" s="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AJ15" i="41"/>
  <c r="AI15" i="41"/>
  <c r="AH15" i="41"/>
  <c r="AG15" i="41"/>
  <c r="AF15" i="41"/>
  <c r="AE15" i="41"/>
  <c r="AD15" i="41"/>
  <c r="AC15" i="41"/>
  <c r="AB15" i="41"/>
  <c r="AA15" i="41"/>
  <c r="Z15" i="41"/>
  <c r="Y15" i="41"/>
  <c r="X15" i="41"/>
  <c r="W15" i="41"/>
  <c r="V15" i="41"/>
  <c r="R15" i="41"/>
  <c r="S15" i="41" s="1"/>
  <c r="AJ14" i="41"/>
  <c r="AI14" i="41"/>
  <c r="AH14" i="41"/>
  <c r="AG14" i="41"/>
  <c r="AF14" i="41"/>
  <c r="AE14" i="41"/>
  <c r="AD14" i="41"/>
  <c r="AC14" i="41"/>
  <c r="AB14" i="41"/>
  <c r="AA14" i="41"/>
  <c r="Z14" i="41"/>
  <c r="Y14" i="41"/>
  <c r="X14" i="41"/>
  <c r="W14" i="41"/>
  <c r="V14" i="41"/>
  <c r="R14" i="41"/>
  <c r="S14" i="41" s="1"/>
  <c r="AJ13" i="41"/>
  <c r="AI13" i="41"/>
  <c r="AH13" i="41"/>
  <c r="AG13" i="41"/>
  <c r="AF13" i="41"/>
  <c r="AE13" i="41"/>
  <c r="AD13" i="41"/>
  <c r="AC13" i="41"/>
  <c r="AB13" i="41"/>
  <c r="AA13" i="41"/>
  <c r="Z13" i="41"/>
  <c r="Y13" i="41"/>
  <c r="X13" i="41"/>
  <c r="W13" i="41"/>
  <c r="V13" i="41"/>
  <c r="R13" i="41"/>
  <c r="S13" i="41" s="1"/>
  <c r="AJ12" i="41"/>
  <c r="AI12" i="41"/>
  <c r="AH12" i="41"/>
  <c r="AG12" i="41"/>
  <c r="AF12" i="41"/>
  <c r="AE12" i="41"/>
  <c r="AD12" i="41"/>
  <c r="AC12" i="41"/>
  <c r="AB12" i="41"/>
  <c r="AA12" i="41"/>
  <c r="Z12" i="41"/>
  <c r="Y12" i="41"/>
  <c r="X12" i="41"/>
  <c r="W12" i="41"/>
  <c r="V12" i="41"/>
  <c r="R12" i="41"/>
  <c r="S12" i="41" s="1"/>
  <c r="AJ11" i="41"/>
  <c r="AI11" i="41"/>
  <c r="AH11" i="41"/>
  <c r="AG11" i="41"/>
  <c r="AF11" i="41"/>
  <c r="AE11" i="41"/>
  <c r="AD11" i="41"/>
  <c r="AC11" i="41"/>
  <c r="AB11" i="41"/>
  <c r="AA11" i="41"/>
  <c r="Z11" i="41"/>
  <c r="Y11" i="41"/>
  <c r="X11" i="41"/>
  <c r="W11" i="41"/>
  <c r="V11" i="41"/>
  <c r="R11" i="41"/>
  <c r="S11" i="41" s="1"/>
  <c r="AJ10" i="41"/>
  <c r="AI10" i="41"/>
  <c r="AH10" i="41"/>
  <c r="AG10" i="41"/>
  <c r="AF10" i="41"/>
  <c r="AE10" i="41"/>
  <c r="AD10" i="41"/>
  <c r="AC10" i="41"/>
  <c r="AB10" i="41"/>
  <c r="AA10" i="41"/>
  <c r="Z10" i="41"/>
  <c r="Y10" i="41"/>
  <c r="X10" i="41"/>
  <c r="W10" i="41"/>
  <c r="V10" i="41"/>
  <c r="R10" i="41"/>
  <c r="S10" i="41" s="1"/>
  <c r="AJ9" i="41"/>
  <c r="AI9" i="41"/>
  <c r="AH9" i="41"/>
  <c r="AG9" i="41"/>
  <c r="AF9" i="41"/>
  <c r="AE9" i="41"/>
  <c r="AD9" i="41"/>
  <c r="AC9" i="41"/>
  <c r="AB9" i="41"/>
  <c r="AA9" i="41"/>
  <c r="Z9" i="41"/>
  <c r="Y9" i="41"/>
  <c r="X9" i="41"/>
  <c r="W9" i="41"/>
  <c r="V9" i="41"/>
  <c r="R9" i="41"/>
  <c r="S9" i="41" s="1"/>
  <c r="AJ8" i="41"/>
  <c r="AI8" i="41"/>
  <c r="AH8" i="41"/>
  <c r="AG8" i="41"/>
  <c r="AF8" i="41"/>
  <c r="AE8" i="41"/>
  <c r="AD8" i="41"/>
  <c r="AC8" i="41"/>
  <c r="AB8" i="41"/>
  <c r="AA8" i="41"/>
  <c r="Z8" i="41"/>
  <c r="Y8" i="41"/>
  <c r="X8" i="41"/>
  <c r="W8" i="41"/>
  <c r="V8" i="41"/>
  <c r="R8" i="41"/>
  <c r="S8" i="41" s="1"/>
  <c r="AJ7" i="41"/>
  <c r="AI7" i="41"/>
  <c r="AH7" i="41"/>
  <c r="AG7" i="41"/>
  <c r="AF7" i="41"/>
  <c r="AE7" i="41"/>
  <c r="AD7" i="41"/>
  <c r="AC7" i="41"/>
  <c r="AB7" i="41"/>
  <c r="AA7" i="41"/>
  <c r="Z7" i="41"/>
  <c r="Y7" i="41"/>
  <c r="X7" i="41"/>
  <c r="W7" i="41"/>
  <c r="V7" i="41"/>
  <c r="R7" i="41"/>
  <c r="S7" i="41" s="1"/>
  <c r="AJ6" i="41"/>
  <c r="AI6" i="41"/>
  <c r="AH6" i="41"/>
  <c r="AG6" i="41"/>
  <c r="AF6" i="41"/>
  <c r="AE6" i="41"/>
  <c r="AD6" i="41"/>
  <c r="AC6" i="41"/>
  <c r="AB6" i="41"/>
  <c r="AA6" i="41"/>
  <c r="Z6" i="41"/>
  <c r="Y6" i="41"/>
  <c r="X6" i="41"/>
  <c r="W6" i="41"/>
  <c r="V6" i="41"/>
  <c r="R6" i="41"/>
  <c r="S6" i="41" s="1"/>
  <c r="AJ5" i="41"/>
  <c r="AI5" i="41"/>
  <c r="AH5" i="41"/>
  <c r="AG5" i="41"/>
  <c r="AF5" i="41"/>
  <c r="AE5" i="41"/>
  <c r="AD5" i="41"/>
  <c r="AC5" i="41"/>
  <c r="AB5" i="41"/>
  <c r="AA5" i="41"/>
  <c r="Z5" i="41"/>
  <c r="Y5" i="41"/>
  <c r="X5" i="41"/>
  <c r="W5" i="41"/>
  <c r="V5" i="41"/>
  <c r="R5" i="41"/>
  <c r="S5" i="41" s="1"/>
  <c r="AJ4" i="41"/>
  <c r="AI4" i="41"/>
  <c r="AH4" i="41"/>
  <c r="AH16" i="41" s="1"/>
  <c r="AG4" i="41"/>
  <c r="AF4" i="41"/>
  <c r="AE4" i="41"/>
  <c r="AD4" i="41"/>
  <c r="AD16" i="41" s="1"/>
  <c r="AC4" i="41"/>
  <c r="AB4" i="41"/>
  <c r="AA4" i="41"/>
  <c r="Z4" i="41"/>
  <c r="Y4" i="41"/>
  <c r="X4" i="41"/>
  <c r="W4" i="41"/>
  <c r="V4" i="41"/>
  <c r="R4" i="41"/>
  <c r="S4" i="41" s="1"/>
  <c r="Q33" i="40"/>
  <c r="BT33" i="40" s="1"/>
  <c r="P33" i="40"/>
  <c r="BS33" i="40" s="1"/>
  <c r="O33" i="40"/>
  <c r="BR33" i="40" s="1"/>
  <c r="N33" i="40"/>
  <c r="BQ33" i="40" s="1"/>
  <c r="M33" i="40"/>
  <c r="BP33" i="40" s="1"/>
  <c r="L33" i="40"/>
  <c r="BO33" i="40" s="1"/>
  <c r="K33" i="40"/>
  <c r="BN33" i="40" s="1"/>
  <c r="J33" i="40"/>
  <c r="BM33" i="40" s="1"/>
  <c r="I33" i="40"/>
  <c r="BL33" i="40" s="1"/>
  <c r="H33" i="40"/>
  <c r="BK33" i="40" s="1"/>
  <c r="G33" i="40"/>
  <c r="BJ33" i="40" s="1"/>
  <c r="F33" i="40"/>
  <c r="BI33" i="40" s="1"/>
  <c r="E33" i="40"/>
  <c r="BH33" i="40" s="1"/>
  <c r="D33" i="40"/>
  <c r="BG33" i="40" s="1"/>
  <c r="C33" i="40"/>
  <c r="BF33" i="40" s="1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R32" i="40"/>
  <c r="S32" i="40" s="1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R31" i="40"/>
  <c r="S31" i="40" s="1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R30" i="40"/>
  <c r="S30" i="40" s="1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R29" i="40"/>
  <c r="S29" i="40" s="1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R28" i="40"/>
  <c r="S28" i="40" s="1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R27" i="40"/>
  <c r="S27" i="40" s="1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R26" i="40"/>
  <c r="S26" i="40" s="1"/>
  <c r="AJ25" i="40"/>
  <c r="AI25" i="40"/>
  <c r="AH25" i="40"/>
  <c r="AG25" i="40"/>
  <c r="AF25" i="40"/>
  <c r="AE25" i="40"/>
  <c r="AD25" i="40"/>
  <c r="AC25" i="40"/>
  <c r="AB25" i="40"/>
  <c r="AA25" i="40"/>
  <c r="Z25" i="40"/>
  <c r="Y25" i="40"/>
  <c r="X25" i="40"/>
  <c r="W25" i="40"/>
  <c r="V25" i="40"/>
  <c r="R25" i="40"/>
  <c r="S25" i="40" s="1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R24" i="40"/>
  <c r="S24" i="40" s="1"/>
  <c r="AJ23" i="40"/>
  <c r="AI23" i="40"/>
  <c r="AH23" i="40"/>
  <c r="AG23" i="40"/>
  <c r="AF23" i="40"/>
  <c r="AE23" i="40"/>
  <c r="AD23" i="40"/>
  <c r="AC23" i="40"/>
  <c r="AB23" i="40"/>
  <c r="AA23" i="40"/>
  <c r="Z23" i="40"/>
  <c r="Y23" i="40"/>
  <c r="X23" i="40"/>
  <c r="W23" i="40"/>
  <c r="V23" i="40"/>
  <c r="R23" i="40"/>
  <c r="S23" i="40" s="1"/>
  <c r="AJ22" i="40"/>
  <c r="AI22" i="40"/>
  <c r="AH22" i="40"/>
  <c r="AG22" i="40"/>
  <c r="AF22" i="40"/>
  <c r="AE22" i="40"/>
  <c r="AD22" i="40"/>
  <c r="AC22" i="40"/>
  <c r="AB22" i="40"/>
  <c r="AA22" i="40"/>
  <c r="Z22" i="40"/>
  <c r="Y22" i="40"/>
  <c r="X22" i="40"/>
  <c r="W22" i="40"/>
  <c r="V22" i="40"/>
  <c r="R22" i="40"/>
  <c r="S22" i="40" s="1"/>
  <c r="AJ21" i="40"/>
  <c r="AI21" i="40"/>
  <c r="AH21" i="40"/>
  <c r="AG21" i="40"/>
  <c r="AF21" i="40"/>
  <c r="AE21" i="40"/>
  <c r="AD21" i="40"/>
  <c r="AC21" i="40"/>
  <c r="AB21" i="40"/>
  <c r="AA21" i="40"/>
  <c r="Z21" i="40"/>
  <c r="Y21" i="40"/>
  <c r="X21" i="40"/>
  <c r="W21" i="40"/>
  <c r="V21" i="40"/>
  <c r="R21" i="40"/>
  <c r="S21" i="40" s="1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R15" i="40"/>
  <c r="S15" i="40" s="1"/>
  <c r="AJ14" i="40"/>
  <c r="AI14" i="40"/>
  <c r="AH14" i="40"/>
  <c r="AG14" i="40"/>
  <c r="AF14" i="40"/>
  <c r="AE14" i="40"/>
  <c r="AD14" i="40"/>
  <c r="AC14" i="40"/>
  <c r="AB14" i="40"/>
  <c r="AA14" i="40"/>
  <c r="Z14" i="40"/>
  <c r="Y14" i="40"/>
  <c r="X14" i="40"/>
  <c r="W14" i="40"/>
  <c r="V14" i="40"/>
  <c r="R14" i="40"/>
  <c r="S14" i="40" s="1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X13" i="40"/>
  <c r="W13" i="40"/>
  <c r="V13" i="40"/>
  <c r="R13" i="40"/>
  <c r="S13" i="40" s="1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X12" i="40"/>
  <c r="W12" i="40"/>
  <c r="V12" i="40"/>
  <c r="R12" i="40"/>
  <c r="S12" i="40" s="1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X11" i="40"/>
  <c r="W11" i="40"/>
  <c r="V11" i="40"/>
  <c r="R11" i="40"/>
  <c r="S11" i="40" s="1"/>
  <c r="AJ10" i="40"/>
  <c r="AI10" i="40"/>
  <c r="AH10" i="40"/>
  <c r="AG10" i="40"/>
  <c r="AF10" i="40"/>
  <c r="AE10" i="40"/>
  <c r="AD10" i="40"/>
  <c r="AC10" i="40"/>
  <c r="AB10" i="40"/>
  <c r="AA10" i="40"/>
  <c r="Z10" i="40"/>
  <c r="Y10" i="40"/>
  <c r="X10" i="40"/>
  <c r="W10" i="40"/>
  <c r="V10" i="40"/>
  <c r="R10" i="40"/>
  <c r="S10" i="40" s="1"/>
  <c r="AJ9" i="40"/>
  <c r="AI9" i="40"/>
  <c r="AH9" i="40"/>
  <c r="AG9" i="40"/>
  <c r="AF9" i="40"/>
  <c r="AE9" i="40"/>
  <c r="AD9" i="40"/>
  <c r="AC9" i="40"/>
  <c r="AB9" i="40"/>
  <c r="AA9" i="40"/>
  <c r="Z9" i="40"/>
  <c r="Y9" i="40"/>
  <c r="X9" i="40"/>
  <c r="W9" i="40"/>
  <c r="V9" i="40"/>
  <c r="R9" i="40"/>
  <c r="S9" i="40" s="1"/>
  <c r="AJ8" i="40"/>
  <c r="AI8" i="40"/>
  <c r="AH8" i="40"/>
  <c r="AG8" i="40"/>
  <c r="AF8" i="40"/>
  <c r="AE8" i="40"/>
  <c r="AD8" i="40"/>
  <c r="AC8" i="40"/>
  <c r="AB8" i="40"/>
  <c r="AA8" i="40"/>
  <c r="Z8" i="40"/>
  <c r="Y8" i="40"/>
  <c r="X8" i="40"/>
  <c r="W8" i="40"/>
  <c r="V8" i="40"/>
  <c r="R8" i="40"/>
  <c r="S8" i="40" s="1"/>
  <c r="AJ7" i="40"/>
  <c r="AI7" i="40"/>
  <c r="AH7" i="40"/>
  <c r="AG7" i="40"/>
  <c r="AF7" i="40"/>
  <c r="AE7" i="40"/>
  <c r="AD7" i="40"/>
  <c r="AC7" i="40"/>
  <c r="AB7" i="40"/>
  <c r="AA7" i="40"/>
  <c r="Z7" i="40"/>
  <c r="Y7" i="40"/>
  <c r="X7" i="40"/>
  <c r="W7" i="40"/>
  <c r="V7" i="40"/>
  <c r="R7" i="40"/>
  <c r="S7" i="40" s="1"/>
  <c r="AJ6" i="40"/>
  <c r="AI6" i="40"/>
  <c r="AH6" i="40"/>
  <c r="AG6" i="40"/>
  <c r="AF6" i="40"/>
  <c r="AE6" i="40"/>
  <c r="AD6" i="40"/>
  <c r="AC6" i="40"/>
  <c r="AB6" i="40"/>
  <c r="AA6" i="40"/>
  <c r="Z6" i="40"/>
  <c r="Y6" i="40"/>
  <c r="X6" i="40"/>
  <c r="W6" i="40"/>
  <c r="V6" i="40"/>
  <c r="R6" i="40"/>
  <c r="S6" i="40" s="1"/>
  <c r="AJ5" i="40"/>
  <c r="AI5" i="40"/>
  <c r="AH5" i="40"/>
  <c r="AG5" i="40"/>
  <c r="AF5" i="40"/>
  <c r="AE5" i="40"/>
  <c r="AD5" i="40"/>
  <c r="AC5" i="40"/>
  <c r="AB5" i="40"/>
  <c r="AA5" i="40"/>
  <c r="Z5" i="40"/>
  <c r="Y5" i="40"/>
  <c r="X5" i="40"/>
  <c r="W5" i="40"/>
  <c r="V5" i="40"/>
  <c r="R5" i="40"/>
  <c r="S5" i="40" s="1"/>
  <c r="AJ4" i="40"/>
  <c r="AI4" i="40"/>
  <c r="AH4" i="40"/>
  <c r="AG4" i="40"/>
  <c r="AF4" i="40"/>
  <c r="AE4" i="40"/>
  <c r="AD4" i="40"/>
  <c r="AC4" i="40"/>
  <c r="AB4" i="40"/>
  <c r="AA4" i="40"/>
  <c r="Z4" i="40"/>
  <c r="Y4" i="40"/>
  <c r="X4" i="40"/>
  <c r="W4" i="40"/>
  <c r="V4" i="40"/>
  <c r="R4" i="40"/>
  <c r="S4" i="40" s="1"/>
  <c r="Q33" i="39"/>
  <c r="BT33" i="39" s="1"/>
  <c r="P33" i="39"/>
  <c r="BS33" i="39" s="1"/>
  <c r="O33" i="39"/>
  <c r="BR33" i="39" s="1"/>
  <c r="N33" i="39"/>
  <c r="BQ33" i="39" s="1"/>
  <c r="M33" i="39"/>
  <c r="BP33" i="39" s="1"/>
  <c r="L33" i="39"/>
  <c r="BO33" i="39" s="1"/>
  <c r="K33" i="39"/>
  <c r="BN33" i="39" s="1"/>
  <c r="J33" i="39"/>
  <c r="BM33" i="39" s="1"/>
  <c r="I33" i="39"/>
  <c r="BL33" i="39" s="1"/>
  <c r="H33" i="39"/>
  <c r="BK33" i="39" s="1"/>
  <c r="G33" i="39"/>
  <c r="BJ33" i="39" s="1"/>
  <c r="F33" i="39"/>
  <c r="BI33" i="39" s="1"/>
  <c r="E33" i="39"/>
  <c r="BH33" i="39" s="1"/>
  <c r="D33" i="39"/>
  <c r="BG33" i="39" s="1"/>
  <c r="C33" i="39"/>
  <c r="AJ32" i="39"/>
  <c r="AI32" i="39"/>
  <c r="AH32" i="39"/>
  <c r="AG32" i="39"/>
  <c r="AF32" i="39"/>
  <c r="AE32" i="39"/>
  <c r="AD32" i="39"/>
  <c r="AC32" i="39"/>
  <c r="AB32" i="39"/>
  <c r="AA32" i="39"/>
  <c r="Z32" i="39"/>
  <c r="Y32" i="39"/>
  <c r="X32" i="39"/>
  <c r="W32" i="39"/>
  <c r="V32" i="39"/>
  <c r="R32" i="39"/>
  <c r="S32" i="39" s="1"/>
  <c r="AJ31" i="39"/>
  <c r="AI31" i="39"/>
  <c r="AH31" i="39"/>
  <c r="AG31" i="39"/>
  <c r="AF31" i="39"/>
  <c r="AE31" i="39"/>
  <c r="AD31" i="39"/>
  <c r="AC31" i="39"/>
  <c r="AB31" i="39"/>
  <c r="AA31" i="39"/>
  <c r="Z31" i="39"/>
  <c r="Y31" i="39"/>
  <c r="X31" i="39"/>
  <c r="W31" i="39"/>
  <c r="V31" i="39"/>
  <c r="R31" i="39"/>
  <c r="S31" i="39" s="1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W30" i="39"/>
  <c r="V30" i="39"/>
  <c r="R30" i="39"/>
  <c r="S30" i="39" s="1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R29" i="39"/>
  <c r="S29" i="39" s="1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R28" i="39"/>
  <c r="S28" i="39" s="1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R27" i="39"/>
  <c r="S27" i="39" s="1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R26" i="39"/>
  <c r="S26" i="39" s="1"/>
  <c r="AJ25" i="39"/>
  <c r="AI25" i="39"/>
  <c r="AH25" i="39"/>
  <c r="AG25" i="39"/>
  <c r="AF25" i="39"/>
  <c r="AE25" i="39"/>
  <c r="AD25" i="39"/>
  <c r="AC25" i="39"/>
  <c r="AB25" i="39"/>
  <c r="AA25" i="39"/>
  <c r="Z25" i="39"/>
  <c r="Y25" i="39"/>
  <c r="X25" i="39"/>
  <c r="W25" i="39"/>
  <c r="V25" i="39"/>
  <c r="R25" i="39"/>
  <c r="S25" i="39" s="1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R24" i="39"/>
  <c r="S24" i="39" s="1"/>
  <c r="AJ23" i="39"/>
  <c r="AI23" i="39"/>
  <c r="AH23" i="39"/>
  <c r="AG23" i="39"/>
  <c r="AF23" i="39"/>
  <c r="AE23" i="39"/>
  <c r="AD23" i="39"/>
  <c r="AC23" i="39"/>
  <c r="AB23" i="39"/>
  <c r="AA23" i="39"/>
  <c r="Z23" i="39"/>
  <c r="Y23" i="39"/>
  <c r="X23" i="39"/>
  <c r="W23" i="39"/>
  <c r="V23" i="39"/>
  <c r="R23" i="39"/>
  <c r="S23" i="39" s="1"/>
  <c r="AJ22" i="39"/>
  <c r="AI22" i="39"/>
  <c r="AH22" i="39"/>
  <c r="AG22" i="39"/>
  <c r="AF22" i="39"/>
  <c r="AE22" i="39"/>
  <c r="AD22" i="39"/>
  <c r="AC22" i="39"/>
  <c r="AB22" i="39"/>
  <c r="AA22" i="39"/>
  <c r="Z22" i="39"/>
  <c r="Y22" i="39"/>
  <c r="X22" i="39"/>
  <c r="W22" i="39"/>
  <c r="V22" i="39"/>
  <c r="R22" i="39"/>
  <c r="S22" i="39" s="1"/>
  <c r="AJ21" i="39"/>
  <c r="AI21" i="39"/>
  <c r="AH21" i="39"/>
  <c r="AG21" i="39"/>
  <c r="AF21" i="39"/>
  <c r="AE21" i="39"/>
  <c r="AD21" i="39"/>
  <c r="AC21" i="39"/>
  <c r="AB21" i="39"/>
  <c r="AA21" i="39"/>
  <c r="Z21" i="39"/>
  <c r="Y21" i="39"/>
  <c r="X21" i="39"/>
  <c r="W21" i="39"/>
  <c r="V21" i="39"/>
  <c r="R21" i="39"/>
  <c r="S21" i="39" s="1"/>
  <c r="Q16" i="39"/>
  <c r="P16" i="39"/>
  <c r="O16" i="39"/>
  <c r="N16" i="39"/>
  <c r="M16" i="39"/>
  <c r="L16" i="39"/>
  <c r="K16" i="39"/>
  <c r="J16" i="39"/>
  <c r="I16" i="39"/>
  <c r="H16" i="39"/>
  <c r="G16" i="39"/>
  <c r="F16" i="39"/>
  <c r="E16" i="39"/>
  <c r="D16" i="39"/>
  <c r="C16" i="39"/>
  <c r="AJ15" i="39"/>
  <c r="AI15" i="39"/>
  <c r="AH15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R15" i="39"/>
  <c r="S15" i="39" s="1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X14" i="39"/>
  <c r="W14" i="39"/>
  <c r="V14" i="39"/>
  <c r="R14" i="39"/>
  <c r="S14" i="39" s="1"/>
  <c r="AJ13" i="39"/>
  <c r="AI13" i="39"/>
  <c r="AH13" i="39"/>
  <c r="AG13" i="39"/>
  <c r="AF13" i="39"/>
  <c r="AE13" i="39"/>
  <c r="AD13" i="39"/>
  <c r="AC13" i="39"/>
  <c r="AB13" i="39"/>
  <c r="AA13" i="39"/>
  <c r="Z13" i="39"/>
  <c r="Y13" i="39"/>
  <c r="X13" i="39"/>
  <c r="W13" i="39"/>
  <c r="V13" i="39"/>
  <c r="R13" i="39"/>
  <c r="S13" i="39" s="1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W12" i="39"/>
  <c r="V12" i="39"/>
  <c r="R12" i="39"/>
  <c r="S12" i="39" s="1"/>
  <c r="AJ11" i="39"/>
  <c r="AI11" i="39"/>
  <c r="AH11" i="39"/>
  <c r="AG11" i="39"/>
  <c r="AF11" i="39"/>
  <c r="AE11" i="39"/>
  <c r="AD11" i="39"/>
  <c r="AC11" i="39"/>
  <c r="AB11" i="39"/>
  <c r="AA11" i="39"/>
  <c r="Z11" i="39"/>
  <c r="Y11" i="39"/>
  <c r="X11" i="39"/>
  <c r="W11" i="39"/>
  <c r="V11" i="39"/>
  <c r="R11" i="39"/>
  <c r="S11" i="39" s="1"/>
  <c r="AJ10" i="39"/>
  <c r="AI10" i="39"/>
  <c r="AH10" i="39"/>
  <c r="AG10" i="39"/>
  <c r="AF10" i="39"/>
  <c r="AE10" i="39"/>
  <c r="AD10" i="39"/>
  <c r="AC10" i="39"/>
  <c r="AB10" i="39"/>
  <c r="AA10" i="39"/>
  <c r="Z10" i="39"/>
  <c r="Y10" i="39"/>
  <c r="X10" i="39"/>
  <c r="W10" i="39"/>
  <c r="V10" i="39"/>
  <c r="R10" i="39"/>
  <c r="S10" i="39" s="1"/>
  <c r="AJ9" i="39"/>
  <c r="AI9" i="39"/>
  <c r="AH9" i="39"/>
  <c r="AG9" i="39"/>
  <c r="AF9" i="39"/>
  <c r="AE9" i="39"/>
  <c r="AD9" i="39"/>
  <c r="AC9" i="39"/>
  <c r="AB9" i="39"/>
  <c r="AA9" i="39"/>
  <c r="Z9" i="39"/>
  <c r="Y9" i="39"/>
  <c r="X9" i="39"/>
  <c r="W9" i="39"/>
  <c r="V9" i="39"/>
  <c r="R9" i="39"/>
  <c r="S9" i="39" s="1"/>
  <c r="AJ8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W8" i="39"/>
  <c r="V8" i="39"/>
  <c r="R8" i="39"/>
  <c r="S8" i="39" s="1"/>
  <c r="AJ7" i="39"/>
  <c r="AI7" i="39"/>
  <c r="AH7" i="39"/>
  <c r="AG7" i="39"/>
  <c r="AF7" i="39"/>
  <c r="AE7" i="39"/>
  <c r="AD7" i="39"/>
  <c r="AC7" i="39"/>
  <c r="AB7" i="39"/>
  <c r="AA7" i="39"/>
  <c r="Z7" i="39"/>
  <c r="Y7" i="39"/>
  <c r="X7" i="39"/>
  <c r="W7" i="39"/>
  <c r="V7" i="39"/>
  <c r="R7" i="39"/>
  <c r="S7" i="39" s="1"/>
  <c r="AJ6" i="39"/>
  <c r="AI6" i="39"/>
  <c r="AH6" i="39"/>
  <c r="AG6" i="39"/>
  <c r="AF6" i="39"/>
  <c r="AE6" i="39"/>
  <c r="AD6" i="39"/>
  <c r="AC6" i="39"/>
  <c r="AB6" i="39"/>
  <c r="AA6" i="39"/>
  <c r="Z6" i="39"/>
  <c r="Y6" i="39"/>
  <c r="X6" i="39"/>
  <c r="W6" i="39"/>
  <c r="V6" i="39"/>
  <c r="R6" i="39"/>
  <c r="S6" i="39" s="1"/>
  <c r="AJ5" i="39"/>
  <c r="AI5" i="39"/>
  <c r="AH5" i="39"/>
  <c r="AG5" i="39"/>
  <c r="AF5" i="39"/>
  <c r="AE5" i="39"/>
  <c r="AD5" i="39"/>
  <c r="AC5" i="39"/>
  <c r="AB5" i="39"/>
  <c r="AA5" i="39"/>
  <c r="Z5" i="39"/>
  <c r="Y5" i="39"/>
  <c r="X5" i="39"/>
  <c r="W5" i="39"/>
  <c r="V5" i="39"/>
  <c r="R5" i="39"/>
  <c r="S5" i="39" s="1"/>
  <c r="AJ4" i="39"/>
  <c r="AI4" i="39"/>
  <c r="AH4" i="39"/>
  <c r="AG4" i="39"/>
  <c r="AF4" i="39"/>
  <c r="AE4" i="39"/>
  <c r="AD4" i="39"/>
  <c r="AC4" i="39"/>
  <c r="AB4" i="39"/>
  <c r="AA4" i="39"/>
  <c r="Z4" i="39"/>
  <c r="Y4" i="39"/>
  <c r="X4" i="39"/>
  <c r="W4" i="39"/>
  <c r="V4" i="39"/>
  <c r="R4" i="39"/>
  <c r="S4" i="39" s="1"/>
  <c r="C16" i="35"/>
  <c r="E16" i="35"/>
  <c r="R33" i="39" l="1"/>
  <c r="S33" i="39" s="1"/>
  <c r="BF33" i="39"/>
  <c r="K53" i="69"/>
  <c r="T160" i="81" s="1"/>
  <c r="T149" i="81"/>
  <c r="AK6" i="39"/>
  <c r="AK10" i="39"/>
  <c r="AK14" i="39"/>
  <c r="AK22" i="39"/>
  <c r="AK26" i="39"/>
  <c r="AK30" i="39"/>
  <c r="AK4" i="40"/>
  <c r="AK8" i="40"/>
  <c r="AK12" i="40"/>
  <c r="AK24" i="40"/>
  <c r="AK28" i="40"/>
  <c r="AK32" i="40"/>
  <c r="AK4" i="44"/>
  <c r="AK8" i="44"/>
  <c r="AK12" i="44"/>
  <c r="AK24" i="44"/>
  <c r="AK28" i="44"/>
  <c r="AK32" i="44"/>
  <c r="AK6" i="45"/>
  <c r="AK10" i="45"/>
  <c r="AK14" i="45"/>
  <c r="AK22" i="45"/>
  <c r="AK26" i="45"/>
  <c r="AK30" i="45"/>
  <c r="AK4" i="47"/>
  <c r="AK8" i="47"/>
  <c r="AK12" i="47"/>
  <c r="AK24" i="47"/>
  <c r="AK28" i="47"/>
  <c r="AK32" i="47"/>
  <c r="AK6" i="48"/>
  <c r="AK10" i="48"/>
  <c r="AK14" i="48"/>
  <c r="AK22" i="48"/>
  <c r="AK26" i="48"/>
  <c r="AK30" i="48"/>
  <c r="X16" i="42"/>
  <c r="AK23" i="42"/>
  <c r="AK27" i="42"/>
  <c r="AK31" i="42"/>
  <c r="AK7" i="44"/>
  <c r="AK11" i="44"/>
  <c r="AK15" i="44"/>
  <c r="AK23" i="44"/>
  <c r="AK27" i="44"/>
  <c r="AK31" i="44"/>
  <c r="AK5" i="45"/>
  <c r="AK9" i="45"/>
  <c r="AK13" i="45"/>
  <c r="AK21" i="45"/>
  <c r="AK25" i="45"/>
  <c r="AK29" i="45"/>
  <c r="Y16" i="48"/>
  <c r="AK5" i="48"/>
  <c r="AK9" i="48"/>
  <c r="AK13" i="48"/>
  <c r="AK21" i="48"/>
  <c r="AK25" i="48"/>
  <c r="AK29" i="48"/>
  <c r="AK6" i="42"/>
  <c r="AK10" i="42"/>
  <c r="AK14" i="42"/>
  <c r="Y33" i="42"/>
  <c r="AK6" i="44"/>
  <c r="AK10" i="44"/>
  <c r="E9" i="65" s="1"/>
  <c r="K12" i="81" s="1"/>
  <c r="AK14" i="44"/>
  <c r="AK22" i="44"/>
  <c r="AK26" i="44"/>
  <c r="AK30" i="44"/>
  <c r="AK4" i="45"/>
  <c r="AK8" i="45"/>
  <c r="AK12" i="45"/>
  <c r="AK24" i="45"/>
  <c r="AK28" i="45"/>
  <c r="AK32" i="45"/>
  <c r="AK4" i="48"/>
  <c r="AK8" i="48"/>
  <c r="AK12" i="48"/>
  <c r="AK24" i="48"/>
  <c r="AK28" i="48"/>
  <c r="AK32" i="48"/>
  <c r="AK4" i="41"/>
  <c r="AK7" i="41"/>
  <c r="AK11" i="41"/>
  <c r="AK15" i="41"/>
  <c r="AK23" i="41"/>
  <c r="AK27" i="41"/>
  <c r="AK25" i="42"/>
  <c r="AK5" i="44"/>
  <c r="AK9" i="44"/>
  <c r="AK13" i="44"/>
  <c r="AK21" i="44"/>
  <c r="AK25" i="44"/>
  <c r="AK29" i="44"/>
  <c r="AK7" i="45"/>
  <c r="AK11" i="45"/>
  <c r="AK15" i="45"/>
  <c r="AK23" i="45"/>
  <c r="AK27" i="45"/>
  <c r="AK31" i="45"/>
  <c r="AK7" i="48"/>
  <c r="AK11" i="48"/>
  <c r="AK15" i="48"/>
  <c r="AK23" i="48"/>
  <c r="AK27" i="48"/>
  <c r="AK31" i="48"/>
  <c r="AF4" i="69"/>
  <c r="AF8" i="69"/>
  <c r="AF12" i="69"/>
  <c r="AF3" i="69"/>
  <c r="AF7" i="69"/>
  <c r="AF11" i="69"/>
  <c r="AF6" i="69"/>
  <c r="AF10" i="69"/>
  <c r="AF5" i="69"/>
  <c r="AF9" i="69"/>
  <c r="AF4" i="67"/>
  <c r="AF8" i="67"/>
  <c r="AF12" i="67"/>
  <c r="AF3" i="67"/>
  <c r="AF7" i="67"/>
  <c r="AF11" i="67"/>
  <c r="AF6" i="67"/>
  <c r="AF10" i="67"/>
  <c r="AF5" i="67"/>
  <c r="AF9" i="67"/>
  <c r="AF6" i="65"/>
  <c r="AF10" i="65"/>
  <c r="AF5" i="65"/>
  <c r="AF9" i="65"/>
  <c r="AF4" i="65"/>
  <c r="AF8" i="65"/>
  <c r="AF12" i="65"/>
  <c r="AF3" i="65"/>
  <c r="AF7" i="65"/>
  <c r="AF11" i="65"/>
  <c r="AE6" i="69"/>
  <c r="AE14" i="69"/>
  <c r="AE5" i="69"/>
  <c r="AE9" i="69"/>
  <c r="AE13" i="69"/>
  <c r="AK27" i="47"/>
  <c r="AK31" i="47"/>
  <c r="AE4" i="69"/>
  <c r="AK6" i="47"/>
  <c r="AE8" i="69"/>
  <c r="AK10" i="47"/>
  <c r="AE12" i="69"/>
  <c r="AK14" i="47"/>
  <c r="AK22" i="47"/>
  <c r="AK26" i="47"/>
  <c r="AK30" i="47"/>
  <c r="AE10" i="69"/>
  <c r="AK7" i="47"/>
  <c r="AK11" i="47"/>
  <c r="AK15" i="47"/>
  <c r="AK23" i="47"/>
  <c r="AE3" i="69"/>
  <c r="AK5" i="47"/>
  <c r="AE7" i="69"/>
  <c r="AK9" i="47"/>
  <c r="AE11" i="69"/>
  <c r="AK13" i="47"/>
  <c r="AK21" i="47"/>
  <c r="AK25" i="47"/>
  <c r="AK29" i="47"/>
  <c r="AK4" i="42"/>
  <c r="AK8" i="42"/>
  <c r="AK12" i="42"/>
  <c r="AK24" i="42"/>
  <c r="AK28" i="42"/>
  <c r="AK32" i="42"/>
  <c r="AK7" i="42"/>
  <c r="AK11" i="42"/>
  <c r="AK15" i="42"/>
  <c r="AK22" i="42"/>
  <c r="AK26" i="42"/>
  <c r="AK30" i="42"/>
  <c r="AK5" i="42"/>
  <c r="AK9" i="42"/>
  <c r="AK13" i="42"/>
  <c r="AK21" i="42"/>
  <c r="AK29" i="42"/>
  <c r="AE4" i="67"/>
  <c r="AK6" i="41"/>
  <c r="AE8" i="67"/>
  <c r="AK10" i="41"/>
  <c r="AE12" i="67"/>
  <c r="AK14" i="41"/>
  <c r="AK22" i="41"/>
  <c r="AK26" i="41"/>
  <c r="AK30" i="41"/>
  <c r="AE3" i="67"/>
  <c r="AK5" i="41"/>
  <c r="AE7" i="67"/>
  <c r="AK9" i="41"/>
  <c r="AE11" i="67"/>
  <c r="AK13" i="41"/>
  <c r="AK21" i="41"/>
  <c r="D3" i="67" s="1"/>
  <c r="AK25" i="41"/>
  <c r="AK29" i="41"/>
  <c r="AE6" i="67"/>
  <c r="AK8" i="41"/>
  <c r="AE10" i="67"/>
  <c r="AK12" i="41"/>
  <c r="AE14" i="67"/>
  <c r="AK24" i="41"/>
  <c r="AK28" i="41"/>
  <c r="AK32" i="41"/>
  <c r="AE5" i="67"/>
  <c r="AE9" i="67"/>
  <c r="AE13" i="67"/>
  <c r="AK31" i="41"/>
  <c r="AE6" i="65"/>
  <c r="AE5" i="65"/>
  <c r="AK7" i="40"/>
  <c r="AE9" i="65"/>
  <c r="AK23" i="40"/>
  <c r="AB16" i="40"/>
  <c r="AF16" i="40"/>
  <c r="AJ16" i="40"/>
  <c r="AE4" i="65"/>
  <c r="AK6" i="40"/>
  <c r="AE8" i="65"/>
  <c r="AK10" i="40"/>
  <c r="AE12" i="65"/>
  <c r="AK14" i="40"/>
  <c r="AK22" i="40"/>
  <c r="AJ33" i="40"/>
  <c r="AK26" i="40"/>
  <c r="AK30" i="40"/>
  <c r="AE10" i="65"/>
  <c r="AE14" i="65"/>
  <c r="AK11" i="40"/>
  <c r="AE13" i="65"/>
  <c r="AK15" i="40"/>
  <c r="AK27" i="40"/>
  <c r="AK31" i="40"/>
  <c r="AE3" i="65"/>
  <c r="AK5" i="40"/>
  <c r="AE7" i="65"/>
  <c r="AK9" i="40"/>
  <c r="AE11" i="65"/>
  <c r="AK13" i="40"/>
  <c r="AK21" i="40"/>
  <c r="AK25" i="40"/>
  <c r="AK29" i="40"/>
  <c r="AE4" i="63"/>
  <c r="AE12" i="63"/>
  <c r="AE3" i="63"/>
  <c r="AK5" i="39"/>
  <c r="AE7" i="63"/>
  <c r="AK9" i="39"/>
  <c r="AE11" i="63"/>
  <c r="AK13" i="39"/>
  <c r="AK21" i="39"/>
  <c r="AK25" i="39"/>
  <c r="AK29" i="39"/>
  <c r="AE8" i="63"/>
  <c r="AE6" i="63"/>
  <c r="AK8" i="39"/>
  <c r="AE10" i="63"/>
  <c r="AK12" i="39"/>
  <c r="AE14" i="63"/>
  <c r="W33" i="39"/>
  <c r="AA33" i="39"/>
  <c r="AE33" i="39"/>
  <c r="AI33" i="39"/>
  <c r="AK24" i="39"/>
  <c r="AK28" i="39"/>
  <c r="AK32" i="39"/>
  <c r="AK4" i="39"/>
  <c r="AE5" i="63"/>
  <c r="AK7" i="39"/>
  <c r="AE9" i="63"/>
  <c r="AK11" i="39"/>
  <c r="AE13" i="63"/>
  <c r="AK15" i="39"/>
  <c r="AK23" i="39"/>
  <c r="AK27" i="39"/>
  <c r="AK31" i="39"/>
  <c r="AK6" i="43"/>
  <c r="AK10" i="43"/>
  <c r="AK14" i="43"/>
  <c r="AK22" i="43"/>
  <c r="AK32" i="43"/>
  <c r="AK26" i="43"/>
  <c r="AK30" i="43"/>
  <c r="AF8" i="63"/>
  <c r="AF12" i="63"/>
  <c r="AF3" i="63"/>
  <c r="AK5" i="43"/>
  <c r="AF7" i="63"/>
  <c r="AK9" i="43"/>
  <c r="AF11" i="63"/>
  <c r="AK13" i="43"/>
  <c r="AK21" i="43"/>
  <c r="AK25" i="43"/>
  <c r="AK29" i="43"/>
  <c r="AF4" i="63"/>
  <c r="AK4" i="43"/>
  <c r="AF6" i="63"/>
  <c r="AK8" i="43"/>
  <c r="E7" i="63" s="1"/>
  <c r="E10" i="81" s="1"/>
  <c r="AF10" i="63"/>
  <c r="AK12" i="43"/>
  <c r="AE33" i="43"/>
  <c r="AI33" i="43"/>
  <c r="AK24" i="43"/>
  <c r="AK28" i="43"/>
  <c r="AF5" i="63"/>
  <c r="AK7" i="43"/>
  <c r="AF9" i="63"/>
  <c r="AK11" i="43"/>
  <c r="AK15" i="43"/>
  <c r="AK23" i="43"/>
  <c r="AK27" i="43"/>
  <c r="AK31" i="43"/>
  <c r="W33" i="47"/>
  <c r="AA33" i="47"/>
  <c r="AE33" i="47"/>
  <c r="AI33" i="47"/>
  <c r="AB16" i="48"/>
  <c r="AF16" i="48"/>
  <c r="AJ16" i="48"/>
  <c r="AC33" i="48"/>
  <c r="AG33" i="48"/>
  <c r="AJ16" i="44"/>
  <c r="AG33" i="44"/>
  <c r="AD16" i="45"/>
  <c r="AH16" i="45"/>
  <c r="AE33" i="45"/>
  <c r="AI33" i="45"/>
  <c r="X16" i="47"/>
  <c r="AB16" i="47"/>
  <c r="AF16" i="47"/>
  <c r="AJ16" i="47"/>
  <c r="AC33" i="47"/>
  <c r="AG33" i="47"/>
  <c r="Z16" i="48"/>
  <c r="AD16" i="48"/>
  <c r="AH16" i="48"/>
  <c r="W33" i="48"/>
  <c r="AA33" i="48"/>
  <c r="AE33" i="48"/>
  <c r="AI33" i="48"/>
  <c r="AE16" i="39"/>
  <c r="AI16" i="39"/>
  <c r="AD16" i="39"/>
  <c r="AH16" i="39"/>
  <c r="AC16" i="40"/>
  <c r="AG16" i="40"/>
  <c r="AE16" i="41"/>
  <c r="AI16" i="41"/>
  <c r="AJ33" i="41"/>
  <c r="Y16" i="42"/>
  <c r="AC16" i="42"/>
  <c r="AG16" i="42"/>
  <c r="V33" i="42"/>
  <c r="Z33" i="42"/>
  <c r="AD33" i="42"/>
  <c r="AH33" i="42"/>
  <c r="W16" i="43"/>
  <c r="AA16" i="43"/>
  <c r="AE16" i="43"/>
  <c r="AI16" i="43"/>
  <c r="AD16" i="43"/>
  <c r="AH16" i="43"/>
  <c r="AG16" i="44"/>
  <c r="V33" i="44"/>
  <c r="Z33" i="44"/>
  <c r="AD33" i="44"/>
  <c r="AH33" i="44"/>
  <c r="W16" i="45"/>
  <c r="AA16" i="45"/>
  <c r="AE16" i="45"/>
  <c r="AI16" i="45"/>
  <c r="AF33" i="45"/>
  <c r="AJ33" i="45"/>
  <c r="AC16" i="47"/>
  <c r="AG16" i="47"/>
  <c r="V33" i="47"/>
  <c r="Z33" i="47"/>
  <c r="AD33" i="47"/>
  <c r="AH33" i="47"/>
  <c r="AE16" i="48"/>
  <c r="AI16" i="48"/>
  <c r="AB33" i="48"/>
  <c r="AF33" i="48"/>
  <c r="AJ33" i="48"/>
  <c r="AB16" i="39"/>
  <c r="AF16" i="39"/>
  <c r="AJ16" i="39"/>
  <c r="Y33" i="39"/>
  <c r="AC33" i="39"/>
  <c r="AG33" i="39"/>
  <c r="AJ33" i="39"/>
  <c r="AB16" i="41"/>
  <c r="AF16" i="41"/>
  <c r="AJ16" i="41"/>
  <c r="V16" i="42"/>
  <c r="Z16" i="42"/>
  <c r="AD16" i="42"/>
  <c r="AH16" i="42"/>
  <c r="W33" i="42"/>
  <c r="AA33" i="42"/>
  <c r="AE33" i="42"/>
  <c r="AI33" i="42"/>
  <c r="X16" i="43"/>
  <c r="AF16" i="43"/>
  <c r="AJ16" i="43"/>
  <c r="Y33" i="43"/>
  <c r="AG33" i="43"/>
  <c r="AF33" i="43"/>
  <c r="AJ33" i="43"/>
  <c r="AD16" i="44"/>
  <c r="AH16" i="44"/>
  <c r="W33" i="44"/>
  <c r="AA33" i="44"/>
  <c r="AE33" i="44"/>
  <c r="AI33" i="44"/>
  <c r="X16" i="45"/>
  <c r="AF16" i="45"/>
  <c r="AJ16" i="45"/>
  <c r="AG33" i="45"/>
  <c r="AC16" i="39"/>
  <c r="AG16" i="39"/>
  <c r="V33" i="39"/>
  <c r="D3" i="63"/>
  <c r="D6" i="81" s="1"/>
  <c r="Z33" i="39"/>
  <c r="AD33" i="39"/>
  <c r="AH33" i="39"/>
  <c r="AE16" i="40"/>
  <c r="AI16" i="40"/>
  <c r="AD16" i="40"/>
  <c r="AH16" i="40"/>
  <c r="AC16" i="41"/>
  <c r="AG16" i="41"/>
  <c r="V33" i="41"/>
  <c r="Z33" i="41"/>
  <c r="AD33" i="41"/>
  <c r="AH33" i="41"/>
  <c r="W16" i="42"/>
  <c r="AA16" i="42"/>
  <c r="AE16" i="42"/>
  <c r="AI16" i="42"/>
  <c r="X33" i="42"/>
  <c r="AB33" i="42"/>
  <c r="AJ33" i="42"/>
  <c r="Y16" i="43"/>
  <c r="AG16" i="43"/>
  <c r="AD33" i="43"/>
  <c r="AH33" i="43"/>
  <c r="W16" i="44"/>
  <c r="AA16" i="44"/>
  <c r="AE16" i="44"/>
  <c r="AI16" i="44"/>
  <c r="AJ33" i="44"/>
  <c r="AG16" i="45"/>
  <c r="V33" i="45"/>
  <c r="E3" i="67"/>
  <c r="Z33" i="45"/>
  <c r="AD33" i="45"/>
  <c r="AH33" i="45"/>
  <c r="W16" i="47"/>
  <c r="AA16" i="47"/>
  <c r="AE16" i="47"/>
  <c r="AI16" i="47"/>
  <c r="AD16" i="47"/>
  <c r="AH16" i="47"/>
  <c r="E7" i="67"/>
  <c r="AB33" i="47"/>
  <c r="AF33" i="47"/>
  <c r="AJ33" i="47"/>
  <c r="V16" i="48"/>
  <c r="E11" i="69"/>
  <c r="W14" i="81" s="1"/>
  <c r="R16" i="48"/>
  <c r="S16" i="48" s="1"/>
  <c r="X33" i="48"/>
  <c r="Y33" i="48"/>
  <c r="R33" i="48"/>
  <c r="S33" i="48" s="1"/>
  <c r="V33" i="48"/>
  <c r="Z33" i="48"/>
  <c r="W16" i="48"/>
  <c r="AA16" i="48"/>
  <c r="X16" i="48"/>
  <c r="AC33" i="45"/>
  <c r="AB33" i="45"/>
  <c r="W33" i="45"/>
  <c r="AA33" i="45"/>
  <c r="X33" i="45"/>
  <c r="Y33" i="45"/>
  <c r="R33" i="45"/>
  <c r="S33" i="45" s="1"/>
  <c r="AC16" i="45"/>
  <c r="AB16" i="45"/>
  <c r="R16" i="45"/>
  <c r="S16" i="45" s="1"/>
  <c r="V16" i="45"/>
  <c r="Z16" i="45"/>
  <c r="Y16" i="45"/>
  <c r="AF33" i="44"/>
  <c r="AC33" i="44"/>
  <c r="AB33" i="44"/>
  <c r="R33" i="44"/>
  <c r="S33" i="44" s="1"/>
  <c r="Y33" i="44"/>
  <c r="X33" i="44"/>
  <c r="AF16" i="44"/>
  <c r="AB16" i="44"/>
  <c r="AC16" i="44"/>
  <c r="X16" i="44"/>
  <c r="R16" i="44"/>
  <c r="S16" i="44" s="1"/>
  <c r="Y16" i="44"/>
  <c r="V16" i="44"/>
  <c r="Z16" i="44"/>
  <c r="AB33" i="43"/>
  <c r="AC33" i="43"/>
  <c r="V33" i="43"/>
  <c r="Z33" i="43"/>
  <c r="W33" i="43"/>
  <c r="AA33" i="43"/>
  <c r="X33" i="43"/>
  <c r="AB16" i="43"/>
  <c r="AC16" i="43"/>
  <c r="R16" i="43"/>
  <c r="S16" i="43" s="1"/>
  <c r="Z16" i="43"/>
  <c r="R33" i="43"/>
  <c r="S33" i="43" s="1"/>
  <c r="R16" i="47"/>
  <c r="S16" i="47" s="1"/>
  <c r="Y16" i="47"/>
  <c r="Z16" i="47"/>
  <c r="Y33" i="47"/>
  <c r="R33" i="47"/>
  <c r="S33" i="47" s="1"/>
  <c r="X33" i="47"/>
  <c r="AF33" i="42"/>
  <c r="R33" i="42"/>
  <c r="R16" i="42"/>
  <c r="W16" i="40"/>
  <c r="AA16" i="40"/>
  <c r="Y16" i="40"/>
  <c r="R16" i="40"/>
  <c r="S16" i="40" s="1"/>
  <c r="X16" i="40"/>
  <c r="AB33" i="39"/>
  <c r="AF33" i="39"/>
  <c r="R16" i="39"/>
  <c r="S16" i="39" s="1"/>
  <c r="Y16" i="39"/>
  <c r="X16" i="39"/>
  <c r="W16" i="39"/>
  <c r="AA16" i="39"/>
  <c r="V16" i="47"/>
  <c r="V16" i="43"/>
  <c r="W16" i="41"/>
  <c r="AA16" i="41"/>
  <c r="X16" i="41"/>
  <c r="Y16" i="41"/>
  <c r="R16" i="41"/>
  <c r="S16" i="41" s="1"/>
  <c r="V16" i="41"/>
  <c r="Z16" i="41"/>
  <c r="W33" i="41"/>
  <c r="AA33" i="41"/>
  <c r="AE33" i="41"/>
  <c r="AI33" i="41"/>
  <c r="X33" i="41"/>
  <c r="AB33" i="41"/>
  <c r="AF33" i="41"/>
  <c r="Y33" i="41"/>
  <c r="AC33" i="41"/>
  <c r="AG33" i="41"/>
  <c r="R33" i="41"/>
  <c r="S33" i="41" s="1"/>
  <c r="Y33" i="40"/>
  <c r="AC33" i="40"/>
  <c r="AG33" i="40"/>
  <c r="X33" i="40"/>
  <c r="AB33" i="40"/>
  <c r="AF33" i="40"/>
  <c r="R33" i="40"/>
  <c r="S33" i="40" s="1"/>
  <c r="V33" i="40"/>
  <c r="Z33" i="40"/>
  <c r="AD33" i="40"/>
  <c r="AH33" i="40"/>
  <c r="W33" i="40"/>
  <c r="AA33" i="40"/>
  <c r="AE33" i="40"/>
  <c r="AI33" i="40"/>
  <c r="Z16" i="40"/>
  <c r="X33" i="39"/>
  <c r="Z16" i="39"/>
  <c r="V16" i="40"/>
  <c r="V16" i="39"/>
  <c r="Q33" i="38"/>
  <c r="BT33" i="38" s="1"/>
  <c r="P33" i="38"/>
  <c r="BS33" i="38" s="1"/>
  <c r="O33" i="38"/>
  <c r="BR33" i="38" s="1"/>
  <c r="N33" i="38"/>
  <c r="BQ33" i="38" s="1"/>
  <c r="M33" i="38"/>
  <c r="BP33" i="38" s="1"/>
  <c r="L33" i="38"/>
  <c r="BO33" i="38" s="1"/>
  <c r="K33" i="38"/>
  <c r="BN33" i="38" s="1"/>
  <c r="J33" i="38"/>
  <c r="BM33" i="38" s="1"/>
  <c r="I33" i="38"/>
  <c r="BL33" i="38" s="1"/>
  <c r="H33" i="38"/>
  <c r="BK33" i="38" s="1"/>
  <c r="G33" i="38"/>
  <c r="BJ33" i="38" s="1"/>
  <c r="F33" i="38"/>
  <c r="BI33" i="38" s="1"/>
  <c r="E33" i="38"/>
  <c r="BH33" i="38" s="1"/>
  <c r="D33" i="38"/>
  <c r="BG33" i="38" s="1"/>
  <c r="C33" i="38"/>
  <c r="BF33" i="38" s="1"/>
  <c r="AJ32" i="38"/>
  <c r="AI32" i="38"/>
  <c r="AH32" i="38"/>
  <c r="AG32" i="38"/>
  <c r="AF32" i="38"/>
  <c r="AE32" i="38"/>
  <c r="AD32" i="38"/>
  <c r="AC32" i="38"/>
  <c r="AB32" i="38"/>
  <c r="AA32" i="38"/>
  <c r="Z32" i="38"/>
  <c r="Y32" i="38"/>
  <c r="X32" i="38"/>
  <c r="W32" i="38"/>
  <c r="V32" i="38"/>
  <c r="R32" i="38"/>
  <c r="AJ31" i="38"/>
  <c r="AI31" i="38"/>
  <c r="AH31" i="38"/>
  <c r="AG31" i="38"/>
  <c r="AF31" i="38"/>
  <c r="AE31" i="38"/>
  <c r="AD31" i="38"/>
  <c r="AC31" i="38"/>
  <c r="AB31" i="38"/>
  <c r="AA31" i="38"/>
  <c r="Z31" i="38"/>
  <c r="Y31" i="38"/>
  <c r="X31" i="38"/>
  <c r="W31" i="38"/>
  <c r="V31" i="38"/>
  <c r="R31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R30" i="38"/>
  <c r="AJ29" i="38"/>
  <c r="AI29" i="38"/>
  <c r="AH29" i="38"/>
  <c r="AG29" i="38"/>
  <c r="AF29" i="38"/>
  <c r="AE29" i="38"/>
  <c r="AD29" i="38"/>
  <c r="AC29" i="38"/>
  <c r="AB29" i="38"/>
  <c r="AA29" i="38"/>
  <c r="Z29" i="38"/>
  <c r="Y29" i="38"/>
  <c r="X29" i="38"/>
  <c r="W29" i="38"/>
  <c r="V29" i="38"/>
  <c r="R29" i="38"/>
  <c r="AJ28" i="38"/>
  <c r="AI28" i="38"/>
  <c r="AH28" i="38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R28" i="38"/>
  <c r="AJ27" i="38"/>
  <c r="AI27" i="38"/>
  <c r="AH27" i="38"/>
  <c r="AG27" i="38"/>
  <c r="AF27" i="38"/>
  <c r="AE27" i="38"/>
  <c r="AD27" i="38"/>
  <c r="AC27" i="38"/>
  <c r="AB27" i="38"/>
  <c r="AA27" i="38"/>
  <c r="Z27" i="38"/>
  <c r="Y27" i="38"/>
  <c r="X27" i="38"/>
  <c r="W27" i="38"/>
  <c r="V27" i="38"/>
  <c r="R27" i="38"/>
  <c r="AJ26" i="38"/>
  <c r="AI26" i="38"/>
  <c r="AH26" i="38"/>
  <c r="AG26" i="38"/>
  <c r="AF26" i="38"/>
  <c r="AE26" i="38"/>
  <c r="AD26" i="38"/>
  <c r="AC26" i="38"/>
  <c r="AB26" i="38"/>
  <c r="AA26" i="38"/>
  <c r="Z26" i="38"/>
  <c r="Y26" i="38"/>
  <c r="X26" i="38"/>
  <c r="W26" i="38"/>
  <c r="V26" i="38"/>
  <c r="R26" i="38"/>
  <c r="AJ25" i="38"/>
  <c r="AI25" i="38"/>
  <c r="AH25" i="38"/>
  <c r="AG25" i="38"/>
  <c r="AF25" i="38"/>
  <c r="AE25" i="38"/>
  <c r="AD25" i="38"/>
  <c r="AC25" i="38"/>
  <c r="AB25" i="38"/>
  <c r="AA25" i="38"/>
  <c r="Z25" i="38"/>
  <c r="Y25" i="38"/>
  <c r="X25" i="38"/>
  <c r="W25" i="38"/>
  <c r="V25" i="38"/>
  <c r="R25" i="38"/>
  <c r="AJ24" i="38"/>
  <c r="AI24" i="38"/>
  <c r="AH24" i="38"/>
  <c r="AG24" i="38"/>
  <c r="AF24" i="38"/>
  <c r="AE24" i="38"/>
  <c r="AD24" i="38"/>
  <c r="AC24" i="38"/>
  <c r="AB24" i="38"/>
  <c r="AA24" i="38"/>
  <c r="Z24" i="38"/>
  <c r="Y24" i="38"/>
  <c r="X24" i="38"/>
  <c r="W24" i="38"/>
  <c r="V24" i="38"/>
  <c r="R24" i="38"/>
  <c r="AJ23" i="38"/>
  <c r="AI23" i="38"/>
  <c r="AH23" i="38"/>
  <c r="AG23" i="38"/>
  <c r="AF23" i="38"/>
  <c r="AE23" i="38"/>
  <c r="AD23" i="38"/>
  <c r="AC23" i="38"/>
  <c r="AB23" i="38"/>
  <c r="AA23" i="38"/>
  <c r="Z23" i="38"/>
  <c r="Y23" i="38"/>
  <c r="X23" i="38"/>
  <c r="W23" i="38"/>
  <c r="V23" i="38"/>
  <c r="R23" i="38"/>
  <c r="AJ22" i="38"/>
  <c r="AI22" i="38"/>
  <c r="AH22" i="38"/>
  <c r="AG22" i="38"/>
  <c r="AF22" i="38"/>
  <c r="AE22" i="38"/>
  <c r="AD22" i="38"/>
  <c r="AC22" i="38"/>
  <c r="AB22" i="38"/>
  <c r="AA22" i="38"/>
  <c r="Z22" i="38"/>
  <c r="Y22" i="38"/>
  <c r="X22" i="38"/>
  <c r="W22" i="38"/>
  <c r="V22" i="38"/>
  <c r="R22" i="38"/>
  <c r="AJ21" i="38"/>
  <c r="AI21" i="38"/>
  <c r="AH21" i="38"/>
  <c r="AG21" i="38"/>
  <c r="AF21" i="38"/>
  <c r="AE21" i="38"/>
  <c r="AD21" i="38"/>
  <c r="AC21" i="38"/>
  <c r="AB21" i="38"/>
  <c r="AA21" i="38"/>
  <c r="Z21" i="38"/>
  <c r="Y21" i="38"/>
  <c r="X21" i="38"/>
  <c r="W21" i="38"/>
  <c r="V21" i="38"/>
  <c r="R21" i="38"/>
  <c r="Q16" i="38"/>
  <c r="P16" i="38"/>
  <c r="O16" i="38"/>
  <c r="N16" i="38"/>
  <c r="M16" i="38"/>
  <c r="L16" i="38"/>
  <c r="K16" i="38"/>
  <c r="J16" i="38"/>
  <c r="I16" i="38"/>
  <c r="H16" i="38"/>
  <c r="G16" i="38"/>
  <c r="F16" i="38"/>
  <c r="E16" i="38"/>
  <c r="D16" i="38"/>
  <c r="C16" i="38"/>
  <c r="AJ15" i="38"/>
  <c r="AI15" i="38"/>
  <c r="AH15" i="38"/>
  <c r="AG15" i="38"/>
  <c r="AF15" i="38"/>
  <c r="AE15" i="38"/>
  <c r="AD15" i="38"/>
  <c r="AC15" i="38"/>
  <c r="AB15" i="38"/>
  <c r="AA15" i="38"/>
  <c r="Z15" i="38"/>
  <c r="Y15" i="38"/>
  <c r="X15" i="38"/>
  <c r="W15" i="38"/>
  <c r="V15" i="38"/>
  <c r="R15" i="38"/>
  <c r="AJ14" i="38"/>
  <c r="AI14" i="38"/>
  <c r="AH14" i="38"/>
  <c r="AG14" i="38"/>
  <c r="AF14" i="38"/>
  <c r="AE14" i="38"/>
  <c r="AD14" i="38"/>
  <c r="AC14" i="38"/>
  <c r="AB14" i="38"/>
  <c r="AA14" i="38"/>
  <c r="Z14" i="38"/>
  <c r="Y14" i="38"/>
  <c r="X14" i="38"/>
  <c r="W14" i="38"/>
  <c r="V14" i="38"/>
  <c r="R14" i="38"/>
  <c r="AJ13" i="38"/>
  <c r="AI13" i="38"/>
  <c r="AH13" i="38"/>
  <c r="AG13" i="38"/>
  <c r="AF13" i="38"/>
  <c r="AE13" i="38"/>
  <c r="AD13" i="38"/>
  <c r="AC13" i="38"/>
  <c r="AB13" i="38"/>
  <c r="AA13" i="38"/>
  <c r="Z13" i="38"/>
  <c r="Y13" i="38"/>
  <c r="X13" i="38"/>
  <c r="W13" i="38"/>
  <c r="V13" i="38"/>
  <c r="R13" i="38"/>
  <c r="AJ12" i="38"/>
  <c r="AI12" i="38"/>
  <c r="AH12" i="38"/>
  <c r="AG12" i="38"/>
  <c r="AF12" i="38"/>
  <c r="AE12" i="38"/>
  <c r="AD12" i="38"/>
  <c r="AC12" i="38"/>
  <c r="AB12" i="38"/>
  <c r="AA12" i="38"/>
  <c r="Z12" i="38"/>
  <c r="Y12" i="38"/>
  <c r="X12" i="38"/>
  <c r="W12" i="38"/>
  <c r="V12" i="38"/>
  <c r="R12" i="38"/>
  <c r="AJ11" i="38"/>
  <c r="AI11" i="38"/>
  <c r="AH11" i="38"/>
  <c r="AG11" i="38"/>
  <c r="AF11" i="38"/>
  <c r="AE11" i="38"/>
  <c r="AD11" i="38"/>
  <c r="AC11" i="38"/>
  <c r="AB11" i="38"/>
  <c r="AA11" i="38"/>
  <c r="Z11" i="38"/>
  <c r="Y11" i="38"/>
  <c r="X11" i="38"/>
  <c r="W11" i="38"/>
  <c r="V11" i="38"/>
  <c r="R11" i="38"/>
  <c r="AJ10" i="38"/>
  <c r="AI10" i="38"/>
  <c r="AH10" i="38"/>
  <c r="AG10" i="38"/>
  <c r="AF10" i="38"/>
  <c r="AE10" i="38"/>
  <c r="AD10" i="38"/>
  <c r="AC10" i="38"/>
  <c r="AB10" i="38"/>
  <c r="AA10" i="38"/>
  <c r="Z10" i="38"/>
  <c r="Y10" i="38"/>
  <c r="X10" i="38"/>
  <c r="W10" i="38"/>
  <c r="V10" i="38"/>
  <c r="R10" i="38"/>
  <c r="AJ9" i="38"/>
  <c r="AI9" i="38"/>
  <c r="AH9" i="38"/>
  <c r="AG9" i="38"/>
  <c r="AF9" i="38"/>
  <c r="AE9" i="38"/>
  <c r="AD9" i="38"/>
  <c r="AC9" i="38"/>
  <c r="AB9" i="38"/>
  <c r="AA9" i="38"/>
  <c r="Z9" i="38"/>
  <c r="Y9" i="38"/>
  <c r="X9" i="38"/>
  <c r="W9" i="38"/>
  <c r="V9" i="38"/>
  <c r="R9" i="38"/>
  <c r="AJ8" i="38"/>
  <c r="AI8" i="38"/>
  <c r="AH8" i="38"/>
  <c r="AG8" i="38"/>
  <c r="AF8" i="38"/>
  <c r="AE8" i="38"/>
  <c r="AD8" i="38"/>
  <c r="AC8" i="38"/>
  <c r="AB8" i="38"/>
  <c r="AA8" i="38"/>
  <c r="Z8" i="38"/>
  <c r="Y8" i="38"/>
  <c r="X8" i="38"/>
  <c r="W8" i="38"/>
  <c r="V8" i="38"/>
  <c r="R8" i="38"/>
  <c r="AJ7" i="38"/>
  <c r="AI7" i="38"/>
  <c r="AH7" i="38"/>
  <c r="AG7" i="38"/>
  <c r="AF7" i="38"/>
  <c r="AE7" i="38"/>
  <c r="AD7" i="38"/>
  <c r="AC7" i="38"/>
  <c r="AB7" i="38"/>
  <c r="AA7" i="38"/>
  <c r="Z7" i="38"/>
  <c r="Y7" i="38"/>
  <c r="X7" i="38"/>
  <c r="W7" i="38"/>
  <c r="V7" i="38"/>
  <c r="R7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R6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R5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R4" i="38"/>
  <c r="Q33" i="37"/>
  <c r="BT33" i="37" s="1"/>
  <c r="P33" i="37"/>
  <c r="BS33" i="37" s="1"/>
  <c r="O33" i="37"/>
  <c r="BR33" i="37" s="1"/>
  <c r="N33" i="37"/>
  <c r="BQ33" i="37" s="1"/>
  <c r="M33" i="37"/>
  <c r="BP33" i="37" s="1"/>
  <c r="L33" i="37"/>
  <c r="BO33" i="37" s="1"/>
  <c r="K33" i="37"/>
  <c r="BN33" i="37" s="1"/>
  <c r="J33" i="37"/>
  <c r="BM33" i="37" s="1"/>
  <c r="I33" i="37"/>
  <c r="BL33" i="37" s="1"/>
  <c r="H33" i="37"/>
  <c r="BK33" i="37" s="1"/>
  <c r="G33" i="37"/>
  <c r="BJ33" i="37" s="1"/>
  <c r="F33" i="37"/>
  <c r="BI33" i="37" s="1"/>
  <c r="E33" i="37"/>
  <c r="BH33" i="37" s="1"/>
  <c r="D33" i="37"/>
  <c r="BG33" i="37" s="1"/>
  <c r="C33" i="37"/>
  <c r="BF33" i="37" s="1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R32" i="37"/>
  <c r="S32" i="37" s="1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R31" i="37"/>
  <c r="S31" i="37" s="1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R30" i="37"/>
  <c r="S30" i="37" s="1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R29" i="37"/>
  <c r="S29" i="37" s="1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R28" i="37"/>
  <c r="S28" i="37" s="1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R27" i="37"/>
  <c r="S27" i="37" s="1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R26" i="37"/>
  <c r="S26" i="37" s="1"/>
  <c r="AJ25" i="37"/>
  <c r="AI25" i="37"/>
  <c r="AH25" i="37"/>
  <c r="AG25" i="37"/>
  <c r="AF25" i="37"/>
  <c r="AE25" i="37"/>
  <c r="AD25" i="37"/>
  <c r="AC25" i="37"/>
  <c r="AB25" i="37"/>
  <c r="AA25" i="37"/>
  <c r="Z25" i="37"/>
  <c r="Y25" i="37"/>
  <c r="X25" i="37"/>
  <c r="W25" i="37"/>
  <c r="V25" i="37"/>
  <c r="R25" i="37"/>
  <c r="S25" i="37" s="1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R24" i="37"/>
  <c r="S24" i="37" s="1"/>
  <c r="AJ23" i="37"/>
  <c r="AI23" i="37"/>
  <c r="AH23" i="37"/>
  <c r="AG23" i="37"/>
  <c r="AF23" i="37"/>
  <c r="AE23" i="37"/>
  <c r="AD23" i="37"/>
  <c r="AC23" i="37"/>
  <c r="AB23" i="37"/>
  <c r="AA23" i="37"/>
  <c r="Z23" i="37"/>
  <c r="Y23" i="37"/>
  <c r="X23" i="37"/>
  <c r="W23" i="37"/>
  <c r="V23" i="37"/>
  <c r="R23" i="37"/>
  <c r="S23" i="37" s="1"/>
  <c r="AJ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R22" i="37"/>
  <c r="S22" i="37" s="1"/>
  <c r="AJ21" i="37"/>
  <c r="AI21" i="37"/>
  <c r="AH21" i="37"/>
  <c r="AG21" i="37"/>
  <c r="AG33" i="37" s="1"/>
  <c r="AF21" i="37"/>
  <c r="AE21" i="37"/>
  <c r="AD21" i="37"/>
  <c r="AC21" i="37"/>
  <c r="AB21" i="37"/>
  <c r="AA21" i="37"/>
  <c r="Z21" i="37"/>
  <c r="Y21" i="37"/>
  <c r="X21" i="37"/>
  <c r="W21" i="37"/>
  <c r="V21" i="37"/>
  <c r="R21" i="37"/>
  <c r="S21" i="37" s="1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R15" i="37"/>
  <c r="S15" i="37" s="1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R14" i="37"/>
  <c r="S14" i="37" s="1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R13" i="37"/>
  <c r="S13" i="37" s="1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R12" i="37"/>
  <c r="S12" i="37" s="1"/>
  <c r="AJ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R11" i="37"/>
  <c r="S11" i="37" s="1"/>
  <c r="AJ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R10" i="37"/>
  <c r="S10" i="37" s="1"/>
  <c r="AJ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R9" i="37"/>
  <c r="S9" i="37" s="1"/>
  <c r="AJ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R8" i="37"/>
  <c r="S8" i="37" s="1"/>
  <c r="AJ7" i="37"/>
  <c r="AI7" i="37"/>
  <c r="AH7" i="37"/>
  <c r="AG7" i="37"/>
  <c r="AF7" i="37"/>
  <c r="AE7" i="37"/>
  <c r="AD7" i="37"/>
  <c r="AC7" i="37"/>
  <c r="AB7" i="37"/>
  <c r="AA7" i="37"/>
  <c r="Z7" i="37"/>
  <c r="Y7" i="37"/>
  <c r="X7" i="37"/>
  <c r="W7" i="37"/>
  <c r="V7" i="37"/>
  <c r="R7" i="37"/>
  <c r="S7" i="37" s="1"/>
  <c r="AJ6" i="37"/>
  <c r="AI6" i="37"/>
  <c r="AH6" i="37"/>
  <c r="AG6" i="37"/>
  <c r="AF6" i="37"/>
  <c r="AE6" i="37"/>
  <c r="AD6" i="37"/>
  <c r="AC6" i="37"/>
  <c r="AB6" i="37"/>
  <c r="AA6" i="37"/>
  <c r="Z6" i="37"/>
  <c r="Y6" i="37"/>
  <c r="X6" i="37"/>
  <c r="W6" i="37"/>
  <c r="V6" i="37"/>
  <c r="R6" i="37"/>
  <c r="S6" i="37" s="1"/>
  <c r="AJ5" i="37"/>
  <c r="AI5" i="37"/>
  <c r="AH5" i="37"/>
  <c r="AG5" i="37"/>
  <c r="AF5" i="37"/>
  <c r="AE5" i="37"/>
  <c r="AD5" i="37"/>
  <c r="AC5" i="37"/>
  <c r="AB5" i="37"/>
  <c r="AA5" i="37"/>
  <c r="Z5" i="37"/>
  <c r="Y5" i="37"/>
  <c r="X5" i="37"/>
  <c r="W5" i="37"/>
  <c r="V5" i="37"/>
  <c r="R5" i="37"/>
  <c r="S5" i="37" s="1"/>
  <c r="AJ4" i="37"/>
  <c r="AI4" i="37"/>
  <c r="AH4" i="37"/>
  <c r="AG4" i="37"/>
  <c r="AF4" i="37"/>
  <c r="AF16" i="37" s="1"/>
  <c r="AE4" i="37"/>
  <c r="AD4" i="37"/>
  <c r="AC4" i="37"/>
  <c r="AB4" i="37"/>
  <c r="AB16" i="37" s="1"/>
  <c r="AA4" i="37"/>
  <c r="Z4" i="37"/>
  <c r="Y4" i="37"/>
  <c r="X4" i="37"/>
  <c r="W4" i="37"/>
  <c r="V4" i="37"/>
  <c r="R4" i="37"/>
  <c r="S4" i="37" s="1"/>
  <c r="Q33" i="36"/>
  <c r="BT33" i="36" s="1"/>
  <c r="P33" i="36"/>
  <c r="BS33" i="36" s="1"/>
  <c r="O33" i="36"/>
  <c r="BR33" i="36" s="1"/>
  <c r="N33" i="36"/>
  <c r="BQ33" i="36" s="1"/>
  <c r="M33" i="36"/>
  <c r="BP33" i="36" s="1"/>
  <c r="L33" i="36"/>
  <c r="BO33" i="36" s="1"/>
  <c r="K33" i="36"/>
  <c r="BN33" i="36" s="1"/>
  <c r="J33" i="36"/>
  <c r="BM33" i="36" s="1"/>
  <c r="I33" i="36"/>
  <c r="BL33" i="36" s="1"/>
  <c r="H33" i="36"/>
  <c r="BK33" i="36" s="1"/>
  <c r="G33" i="36"/>
  <c r="BJ33" i="36" s="1"/>
  <c r="F33" i="36"/>
  <c r="BI33" i="36" s="1"/>
  <c r="E33" i="36"/>
  <c r="BH33" i="36" s="1"/>
  <c r="D33" i="36"/>
  <c r="BG33" i="36" s="1"/>
  <c r="C33" i="36"/>
  <c r="BF33" i="36" s="1"/>
  <c r="AJ32" i="36"/>
  <c r="AI32" i="36"/>
  <c r="AH32" i="36"/>
  <c r="AG32" i="36"/>
  <c r="AF32" i="36"/>
  <c r="AE32" i="36"/>
  <c r="AD32" i="36"/>
  <c r="AC32" i="36"/>
  <c r="AB32" i="36"/>
  <c r="AA32" i="36"/>
  <c r="Z32" i="36"/>
  <c r="Y32" i="36"/>
  <c r="X32" i="36"/>
  <c r="W32" i="36"/>
  <c r="V32" i="36"/>
  <c r="R32" i="36"/>
  <c r="S32" i="36" s="1"/>
  <c r="AJ31" i="36"/>
  <c r="AI31" i="36"/>
  <c r="AH31" i="36"/>
  <c r="AG31" i="36"/>
  <c r="AF31" i="36"/>
  <c r="AE31" i="36"/>
  <c r="AD31" i="36"/>
  <c r="AC31" i="36"/>
  <c r="AB31" i="36"/>
  <c r="AA31" i="36"/>
  <c r="Z31" i="36"/>
  <c r="Y31" i="36"/>
  <c r="X31" i="36"/>
  <c r="W31" i="36"/>
  <c r="V31" i="36"/>
  <c r="R31" i="36"/>
  <c r="S31" i="36" s="1"/>
  <c r="AJ30" i="36"/>
  <c r="AI30" i="36"/>
  <c r="AH30" i="36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R30" i="36"/>
  <c r="S30" i="36" s="1"/>
  <c r="AJ29" i="36"/>
  <c r="AI29" i="36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R29" i="36"/>
  <c r="S29" i="36" s="1"/>
  <c r="AJ28" i="36"/>
  <c r="AI28" i="36"/>
  <c r="AH28" i="36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R28" i="36"/>
  <c r="S28" i="36" s="1"/>
  <c r="AJ27" i="36"/>
  <c r="AI27" i="36"/>
  <c r="AH27" i="36"/>
  <c r="AG27" i="36"/>
  <c r="AF27" i="36"/>
  <c r="AE27" i="36"/>
  <c r="AD27" i="36"/>
  <c r="AC27" i="36"/>
  <c r="AB27" i="36"/>
  <c r="AA27" i="36"/>
  <c r="Z27" i="36"/>
  <c r="Y27" i="36"/>
  <c r="X27" i="36"/>
  <c r="W27" i="36"/>
  <c r="V27" i="36"/>
  <c r="R27" i="36"/>
  <c r="S27" i="36" s="1"/>
  <c r="AJ26" i="36"/>
  <c r="AI26" i="36"/>
  <c r="AH26" i="36"/>
  <c r="AG26" i="36"/>
  <c r="AF26" i="36"/>
  <c r="AE26" i="36"/>
  <c r="AD26" i="36"/>
  <c r="AC26" i="36"/>
  <c r="AB26" i="36"/>
  <c r="AA26" i="36"/>
  <c r="Z26" i="36"/>
  <c r="Y26" i="36"/>
  <c r="X26" i="36"/>
  <c r="W26" i="36"/>
  <c r="V26" i="36"/>
  <c r="R26" i="36"/>
  <c r="S26" i="36" s="1"/>
  <c r="AJ25" i="36"/>
  <c r="AI25" i="36"/>
  <c r="AH25" i="36"/>
  <c r="AG25" i="36"/>
  <c r="AF25" i="36"/>
  <c r="AE25" i="36"/>
  <c r="AD25" i="36"/>
  <c r="AC25" i="36"/>
  <c r="AB25" i="36"/>
  <c r="AA25" i="36"/>
  <c r="Z25" i="36"/>
  <c r="Y25" i="36"/>
  <c r="X25" i="36"/>
  <c r="W25" i="36"/>
  <c r="V25" i="36"/>
  <c r="R25" i="36"/>
  <c r="S25" i="36" s="1"/>
  <c r="AJ24" i="36"/>
  <c r="AI24" i="36"/>
  <c r="AH24" i="36"/>
  <c r="AG24" i="36"/>
  <c r="AF24" i="36"/>
  <c r="AE24" i="36"/>
  <c r="AD24" i="36"/>
  <c r="AC24" i="36"/>
  <c r="AB24" i="36"/>
  <c r="AA24" i="36"/>
  <c r="Z24" i="36"/>
  <c r="Y24" i="36"/>
  <c r="X24" i="36"/>
  <c r="W24" i="36"/>
  <c r="V24" i="36"/>
  <c r="R24" i="36"/>
  <c r="S24" i="36" s="1"/>
  <c r="AJ23" i="36"/>
  <c r="AI23" i="36"/>
  <c r="AH23" i="36"/>
  <c r="AG23" i="36"/>
  <c r="AF23" i="36"/>
  <c r="AE23" i="36"/>
  <c r="AD23" i="36"/>
  <c r="AC23" i="36"/>
  <c r="AB23" i="36"/>
  <c r="AA23" i="36"/>
  <c r="Z23" i="36"/>
  <c r="Y23" i="36"/>
  <c r="X23" i="36"/>
  <c r="W23" i="36"/>
  <c r="V23" i="36"/>
  <c r="R23" i="36"/>
  <c r="S23" i="36" s="1"/>
  <c r="AJ22" i="36"/>
  <c r="AI22" i="36"/>
  <c r="AH22" i="36"/>
  <c r="AG22" i="36"/>
  <c r="AF22" i="36"/>
  <c r="AE22" i="36"/>
  <c r="AD22" i="36"/>
  <c r="AC22" i="36"/>
  <c r="AB22" i="36"/>
  <c r="AA22" i="36"/>
  <c r="Z22" i="36"/>
  <c r="Y22" i="36"/>
  <c r="X22" i="36"/>
  <c r="W22" i="36"/>
  <c r="V22" i="36"/>
  <c r="R22" i="36"/>
  <c r="S22" i="36" s="1"/>
  <c r="AJ21" i="36"/>
  <c r="AI21" i="36"/>
  <c r="AH21" i="36"/>
  <c r="AG21" i="36"/>
  <c r="AF21" i="36"/>
  <c r="AE21" i="36"/>
  <c r="AD21" i="36"/>
  <c r="AC21" i="36"/>
  <c r="AB21" i="36"/>
  <c r="AA21" i="36"/>
  <c r="Z21" i="36"/>
  <c r="Y21" i="36"/>
  <c r="X21" i="36"/>
  <c r="W21" i="36"/>
  <c r="V21" i="36"/>
  <c r="R21" i="36"/>
  <c r="S21" i="36" s="1"/>
  <c r="Q16" i="36"/>
  <c r="P16" i="36"/>
  <c r="O16" i="36"/>
  <c r="N16" i="36"/>
  <c r="M16" i="36"/>
  <c r="L16" i="36"/>
  <c r="K16" i="36"/>
  <c r="J16" i="36"/>
  <c r="I16" i="36"/>
  <c r="H16" i="36"/>
  <c r="G16" i="36"/>
  <c r="F16" i="36"/>
  <c r="E16" i="36"/>
  <c r="D16" i="36"/>
  <c r="C16" i="36"/>
  <c r="AJ15" i="36"/>
  <c r="AI15" i="36"/>
  <c r="AH15" i="36"/>
  <c r="AG15" i="36"/>
  <c r="AF15" i="36"/>
  <c r="AE15" i="36"/>
  <c r="AD15" i="36"/>
  <c r="AC15" i="36"/>
  <c r="AB15" i="36"/>
  <c r="AA15" i="36"/>
  <c r="Z15" i="36"/>
  <c r="Y15" i="36"/>
  <c r="X15" i="36"/>
  <c r="W15" i="36"/>
  <c r="V15" i="36"/>
  <c r="R15" i="36"/>
  <c r="S15" i="36" s="1"/>
  <c r="AJ14" i="36"/>
  <c r="AI14" i="36"/>
  <c r="AH14" i="36"/>
  <c r="AG14" i="36"/>
  <c r="AF14" i="36"/>
  <c r="AE14" i="36"/>
  <c r="AD14" i="36"/>
  <c r="AC14" i="36"/>
  <c r="AB14" i="36"/>
  <c r="AA14" i="36"/>
  <c r="Z14" i="36"/>
  <c r="Y14" i="36"/>
  <c r="X14" i="36"/>
  <c r="W14" i="36"/>
  <c r="V14" i="36"/>
  <c r="R14" i="36"/>
  <c r="S14" i="36" s="1"/>
  <c r="AJ13" i="36"/>
  <c r="AI13" i="36"/>
  <c r="AH13" i="36"/>
  <c r="AG13" i="36"/>
  <c r="AF13" i="36"/>
  <c r="AE13" i="36"/>
  <c r="AD13" i="36"/>
  <c r="AC13" i="36"/>
  <c r="AB13" i="36"/>
  <c r="AA13" i="36"/>
  <c r="Z13" i="36"/>
  <c r="Y13" i="36"/>
  <c r="X13" i="36"/>
  <c r="W13" i="36"/>
  <c r="V13" i="36"/>
  <c r="R13" i="36"/>
  <c r="S13" i="36" s="1"/>
  <c r="AJ12" i="36"/>
  <c r="AI12" i="36"/>
  <c r="AH12" i="36"/>
  <c r="AG12" i="36"/>
  <c r="AF12" i="36"/>
  <c r="AE12" i="36"/>
  <c r="AD12" i="36"/>
  <c r="AC12" i="36"/>
  <c r="AB12" i="36"/>
  <c r="AA12" i="36"/>
  <c r="Z12" i="36"/>
  <c r="Y12" i="36"/>
  <c r="X12" i="36"/>
  <c r="W12" i="36"/>
  <c r="V12" i="36"/>
  <c r="R12" i="36"/>
  <c r="S12" i="36" s="1"/>
  <c r="AJ11" i="36"/>
  <c r="AI11" i="36"/>
  <c r="AH11" i="36"/>
  <c r="AG11" i="36"/>
  <c r="AF11" i="36"/>
  <c r="AE11" i="36"/>
  <c r="AD11" i="36"/>
  <c r="AC11" i="36"/>
  <c r="AB11" i="36"/>
  <c r="AA11" i="36"/>
  <c r="Z11" i="36"/>
  <c r="Y11" i="36"/>
  <c r="X11" i="36"/>
  <c r="W11" i="36"/>
  <c r="V11" i="36"/>
  <c r="R11" i="36"/>
  <c r="S11" i="36" s="1"/>
  <c r="AJ10" i="36"/>
  <c r="AI10" i="36"/>
  <c r="AH10" i="36"/>
  <c r="AG10" i="36"/>
  <c r="AF10" i="36"/>
  <c r="AE10" i="36"/>
  <c r="AD10" i="36"/>
  <c r="AC10" i="36"/>
  <c r="AB10" i="36"/>
  <c r="AA10" i="36"/>
  <c r="Z10" i="36"/>
  <c r="Y10" i="36"/>
  <c r="X10" i="36"/>
  <c r="W10" i="36"/>
  <c r="V10" i="36"/>
  <c r="R10" i="36"/>
  <c r="S10" i="36" s="1"/>
  <c r="AJ9" i="36"/>
  <c r="AI9" i="36"/>
  <c r="AH9" i="36"/>
  <c r="AG9" i="36"/>
  <c r="AF9" i="36"/>
  <c r="AE9" i="36"/>
  <c r="AD9" i="36"/>
  <c r="AC9" i="36"/>
  <c r="AB9" i="36"/>
  <c r="AA9" i="36"/>
  <c r="Z9" i="36"/>
  <c r="Y9" i="36"/>
  <c r="X9" i="36"/>
  <c r="W9" i="36"/>
  <c r="V9" i="36"/>
  <c r="R9" i="36"/>
  <c r="S9" i="36" s="1"/>
  <c r="AJ8" i="36"/>
  <c r="AI8" i="36"/>
  <c r="AH8" i="36"/>
  <c r="AG8" i="36"/>
  <c r="AF8" i="36"/>
  <c r="AE8" i="36"/>
  <c r="AD8" i="36"/>
  <c r="AC8" i="36"/>
  <c r="AB8" i="36"/>
  <c r="AA8" i="36"/>
  <c r="Z8" i="36"/>
  <c r="Y8" i="36"/>
  <c r="X8" i="36"/>
  <c r="W8" i="36"/>
  <c r="V8" i="36"/>
  <c r="R8" i="36"/>
  <c r="S8" i="36" s="1"/>
  <c r="AJ7" i="36"/>
  <c r="AI7" i="36"/>
  <c r="AH7" i="36"/>
  <c r="AG7" i="36"/>
  <c r="AF7" i="36"/>
  <c r="AE7" i="36"/>
  <c r="AD7" i="36"/>
  <c r="AC7" i="36"/>
  <c r="AB7" i="36"/>
  <c r="AA7" i="36"/>
  <c r="Z7" i="36"/>
  <c r="Y7" i="36"/>
  <c r="X7" i="36"/>
  <c r="W7" i="36"/>
  <c r="V7" i="36"/>
  <c r="R7" i="36"/>
  <c r="S7" i="36" s="1"/>
  <c r="AJ6" i="36"/>
  <c r="AI6" i="36"/>
  <c r="AH6" i="36"/>
  <c r="AG6" i="36"/>
  <c r="AF6" i="36"/>
  <c r="AE6" i="36"/>
  <c r="AD6" i="36"/>
  <c r="AC6" i="36"/>
  <c r="AB6" i="36"/>
  <c r="AA6" i="36"/>
  <c r="Z6" i="36"/>
  <c r="Y6" i="36"/>
  <c r="X6" i="36"/>
  <c r="W6" i="36"/>
  <c r="V6" i="36"/>
  <c r="R6" i="36"/>
  <c r="S6" i="36" s="1"/>
  <c r="AJ5" i="36"/>
  <c r="AI5" i="36"/>
  <c r="AH5" i="36"/>
  <c r="AG5" i="36"/>
  <c r="AF5" i="36"/>
  <c r="AE5" i="36"/>
  <c r="AD5" i="36"/>
  <c r="AC5" i="36"/>
  <c r="AB5" i="36"/>
  <c r="AA5" i="36"/>
  <c r="Z5" i="36"/>
  <c r="Y5" i="36"/>
  <c r="X5" i="36"/>
  <c r="W5" i="36"/>
  <c r="V5" i="36"/>
  <c r="R5" i="36"/>
  <c r="S5" i="36" s="1"/>
  <c r="AJ4" i="36"/>
  <c r="AI4" i="36"/>
  <c r="AH4" i="36"/>
  <c r="AH16" i="36" s="1"/>
  <c r="AG4" i="36"/>
  <c r="AF4" i="36"/>
  <c r="AE4" i="36"/>
  <c r="AD4" i="36"/>
  <c r="AD16" i="36" s="1"/>
  <c r="AC4" i="36"/>
  <c r="AB4" i="36"/>
  <c r="AA4" i="36"/>
  <c r="Z4" i="36"/>
  <c r="Y4" i="36"/>
  <c r="X4" i="36"/>
  <c r="W4" i="36"/>
  <c r="V4" i="36"/>
  <c r="R4" i="36"/>
  <c r="S4" i="36" s="1"/>
  <c r="G33" i="32"/>
  <c r="BJ33" i="32" s="1"/>
  <c r="F33" i="32"/>
  <c r="BI33" i="32" s="1"/>
  <c r="G16" i="32"/>
  <c r="C16" i="32"/>
  <c r="Q33" i="35"/>
  <c r="BT33" i="35" s="1"/>
  <c r="P33" i="35"/>
  <c r="BS33" i="35" s="1"/>
  <c r="O33" i="35"/>
  <c r="BR33" i="35" s="1"/>
  <c r="N33" i="35"/>
  <c r="BQ33" i="35" s="1"/>
  <c r="M33" i="35"/>
  <c r="BP33" i="35" s="1"/>
  <c r="L33" i="35"/>
  <c r="BO33" i="35" s="1"/>
  <c r="K33" i="35"/>
  <c r="BN33" i="35" s="1"/>
  <c r="J33" i="35"/>
  <c r="BM33" i="35" s="1"/>
  <c r="I33" i="35"/>
  <c r="BL33" i="35" s="1"/>
  <c r="H33" i="35"/>
  <c r="BK33" i="35" s="1"/>
  <c r="G33" i="35"/>
  <c r="BJ33" i="35" s="1"/>
  <c r="F33" i="35"/>
  <c r="BI33" i="35" s="1"/>
  <c r="E33" i="35"/>
  <c r="BH33" i="35" s="1"/>
  <c r="D33" i="35"/>
  <c r="BG33" i="35" s="1"/>
  <c r="C33" i="35"/>
  <c r="BF33" i="35" s="1"/>
  <c r="AJ32" i="35"/>
  <c r="AI32" i="35"/>
  <c r="AH32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R32" i="35"/>
  <c r="S32" i="35" s="1"/>
  <c r="AJ31" i="35"/>
  <c r="AI31" i="35"/>
  <c r="AH31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R31" i="35"/>
  <c r="S31" i="35" s="1"/>
  <c r="AJ30" i="35"/>
  <c r="AI30" i="35"/>
  <c r="AH30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R30" i="35"/>
  <c r="S30" i="35" s="1"/>
  <c r="AJ29" i="35"/>
  <c r="AI29" i="35"/>
  <c r="AH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R29" i="35"/>
  <c r="S29" i="35" s="1"/>
  <c r="AJ28" i="35"/>
  <c r="AI28" i="35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R28" i="35"/>
  <c r="S28" i="35" s="1"/>
  <c r="AJ27" i="35"/>
  <c r="AI27" i="35"/>
  <c r="AH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R27" i="35"/>
  <c r="S27" i="35" s="1"/>
  <c r="AJ26" i="35"/>
  <c r="AI26" i="35"/>
  <c r="AH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R26" i="35"/>
  <c r="S26" i="35" s="1"/>
  <c r="AJ25" i="35"/>
  <c r="AI25" i="35"/>
  <c r="AH25" i="35"/>
  <c r="AG25" i="35"/>
  <c r="AF25" i="35"/>
  <c r="AE25" i="35"/>
  <c r="AD25" i="35"/>
  <c r="AC25" i="35"/>
  <c r="AB25" i="35"/>
  <c r="AA25" i="35"/>
  <c r="Z25" i="35"/>
  <c r="Y25" i="35"/>
  <c r="X25" i="35"/>
  <c r="W25" i="35"/>
  <c r="V25" i="35"/>
  <c r="R25" i="35"/>
  <c r="S25" i="35" s="1"/>
  <c r="AJ24" i="35"/>
  <c r="AI24" i="35"/>
  <c r="AH24" i="35"/>
  <c r="AG24" i="35"/>
  <c r="AF24" i="35"/>
  <c r="AE24" i="35"/>
  <c r="AD24" i="35"/>
  <c r="AC24" i="35"/>
  <c r="AB24" i="35"/>
  <c r="AA24" i="35"/>
  <c r="Z24" i="35"/>
  <c r="Y24" i="35"/>
  <c r="X24" i="35"/>
  <c r="W24" i="35"/>
  <c r="V24" i="35"/>
  <c r="R24" i="35"/>
  <c r="S24" i="35" s="1"/>
  <c r="AJ23" i="35"/>
  <c r="AI23" i="35"/>
  <c r="AH23" i="35"/>
  <c r="AG23" i="35"/>
  <c r="AF23" i="35"/>
  <c r="AE23" i="35"/>
  <c r="AD23" i="35"/>
  <c r="AC23" i="35"/>
  <c r="AB23" i="35"/>
  <c r="AA23" i="35"/>
  <c r="Z23" i="35"/>
  <c r="Y23" i="35"/>
  <c r="X23" i="35"/>
  <c r="W23" i="35"/>
  <c r="V23" i="35"/>
  <c r="R23" i="35"/>
  <c r="S23" i="35" s="1"/>
  <c r="AJ22" i="35"/>
  <c r="AI22" i="35"/>
  <c r="AH22" i="35"/>
  <c r="AG22" i="35"/>
  <c r="AF22" i="35"/>
  <c r="AE22" i="35"/>
  <c r="AD22" i="35"/>
  <c r="AC22" i="35"/>
  <c r="AB22" i="35"/>
  <c r="AA22" i="35"/>
  <c r="Z22" i="35"/>
  <c r="Y22" i="35"/>
  <c r="X22" i="35"/>
  <c r="W22" i="35"/>
  <c r="V22" i="35"/>
  <c r="R22" i="35"/>
  <c r="S22" i="35" s="1"/>
  <c r="AJ21" i="35"/>
  <c r="AI21" i="35"/>
  <c r="AH21" i="35"/>
  <c r="AG21" i="35"/>
  <c r="AF21" i="35"/>
  <c r="AE21" i="35"/>
  <c r="AD21" i="35"/>
  <c r="AC21" i="35"/>
  <c r="AB21" i="35"/>
  <c r="AA21" i="35"/>
  <c r="Z21" i="35"/>
  <c r="Y21" i="35"/>
  <c r="X21" i="35"/>
  <c r="W21" i="35"/>
  <c r="V21" i="35"/>
  <c r="R21" i="35"/>
  <c r="S21" i="35" s="1"/>
  <c r="Q16" i="35"/>
  <c r="P16" i="35"/>
  <c r="O16" i="35"/>
  <c r="N16" i="35"/>
  <c r="M16" i="35"/>
  <c r="L16" i="35"/>
  <c r="K16" i="35"/>
  <c r="J16" i="35"/>
  <c r="I16" i="35"/>
  <c r="H16" i="35"/>
  <c r="G16" i="35"/>
  <c r="F16" i="35"/>
  <c r="D16" i="35"/>
  <c r="AJ15" i="35"/>
  <c r="AI15" i="35"/>
  <c r="AH15" i="35"/>
  <c r="AG15" i="35"/>
  <c r="AF15" i="35"/>
  <c r="AE15" i="35"/>
  <c r="AD15" i="35"/>
  <c r="AC15" i="35"/>
  <c r="AB15" i="35"/>
  <c r="AA15" i="35"/>
  <c r="Z15" i="35"/>
  <c r="Y15" i="35"/>
  <c r="X15" i="35"/>
  <c r="W15" i="35"/>
  <c r="V15" i="35"/>
  <c r="R15" i="35"/>
  <c r="S15" i="35" s="1"/>
  <c r="AJ14" i="35"/>
  <c r="AI14" i="35"/>
  <c r="AH14" i="35"/>
  <c r="AG14" i="35"/>
  <c r="AF14" i="35"/>
  <c r="AE14" i="35"/>
  <c r="AD14" i="35"/>
  <c r="AC14" i="35"/>
  <c r="AB14" i="35"/>
  <c r="AA14" i="35"/>
  <c r="Z14" i="35"/>
  <c r="Y14" i="35"/>
  <c r="X14" i="35"/>
  <c r="W14" i="35"/>
  <c r="V14" i="35"/>
  <c r="R14" i="35"/>
  <c r="S14" i="35" s="1"/>
  <c r="AJ13" i="35"/>
  <c r="AI13" i="35"/>
  <c r="AH13" i="35"/>
  <c r="AG13" i="35"/>
  <c r="AF13" i="35"/>
  <c r="AE13" i="35"/>
  <c r="AD13" i="35"/>
  <c r="AC13" i="35"/>
  <c r="AB13" i="35"/>
  <c r="AA13" i="35"/>
  <c r="Z13" i="35"/>
  <c r="Y13" i="35"/>
  <c r="X13" i="35"/>
  <c r="W13" i="35"/>
  <c r="V13" i="35"/>
  <c r="R13" i="35"/>
  <c r="S13" i="35" s="1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X12" i="35"/>
  <c r="W12" i="35"/>
  <c r="V12" i="35"/>
  <c r="R12" i="35"/>
  <c r="S12" i="35" s="1"/>
  <c r="AJ11" i="35"/>
  <c r="AI11" i="35"/>
  <c r="AH11" i="35"/>
  <c r="AG11" i="35"/>
  <c r="AF11" i="35"/>
  <c r="AE11" i="35"/>
  <c r="AD11" i="35"/>
  <c r="AC11" i="35"/>
  <c r="AB11" i="35"/>
  <c r="AA11" i="35"/>
  <c r="Z11" i="35"/>
  <c r="Y11" i="35"/>
  <c r="X11" i="35"/>
  <c r="W11" i="35"/>
  <c r="V11" i="35"/>
  <c r="R11" i="35"/>
  <c r="S11" i="35" s="1"/>
  <c r="AJ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R10" i="35"/>
  <c r="S10" i="35" s="1"/>
  <c r="AJ9" i="35"/>
  <c r="AI9" i="35"/>
  <c r="AH9" i="35"/>
  <c r="AG9" i="35"/>
  <c r="AF9" i="35"/>
  <c r="AE9" i="35"/>
  <c r="AD9" i="35"/>
  <c r="AC9" i="35"/>
  <c r="AB9" i="35"/>
  <c r="AA9" i="35"/>
  <c r="Z9" i="35"/>
  <c r="Y9" i="35"/>
  <c r="X9" i="35"/>
  <c r="W9" i="35"/>
  <c r="V9" i="35"/>
  <c r="R9" i="35"/>
  <c r="S9" i="35" s="1"/>
  <c r="AJ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R8" i="35"/>
  <c r="S8" i="35" s="1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R7" i="35"/>
  <c r="S7" i="35" s="1"/>
  <c r="AJ6" i="35"/>
  <c r="AI6" i="35"/>
  <c r="AH6" i="35"/>
  <c r="AG6" i="35"/>
  <c r="AF6" i="35"/>
  <c r="AE6" i="35"/>
  <c r="AD6" i="35"/>
  <c r="AC6" i="35"/>
  <c r="AB6" i="35"/>
  <c r="AA6" i="35"/>
  <c r="Z6" i="35"/>
  <c r="Y6" i="35"/>
  <c r="X6" i="35"/>
  <c r="W6" i="35"/>
  <c r="V6" i="35"/>
  <c r="R6" i="35"/>
  <c r="S6" i="35" s="1"/>
  <c r="AJ5" i="35"/>
  <c r="AI5" i="35"/>
  <c r="AH5" i="35"/>
  <c r="AG5" i="35"/>
  <c r="AF5" i="35"/>
  <c r="AE5" i="35"/>
  <c r="AD5" i="35"/>
  <c r="AC5" i="35"/>
  <c r="AB5" i="35"/>
  <c r="AA5" i="35"/>
  <c r="Z5" i="35"/>
  <c r="Y5" i="35"/>
  <c r="X5" i="35"/>
  <c r="W5" i="35"/>
  <c r="V5" i="35"/>
  <c r="R5" i="35"/>
  <c r="S5" i="35" s="1"/>
  <c r="AJ4" i="35"/>
  <c r="AI4" i="35"/>
  <c r="AH4" i="35"/>
  <c r="AG4" i="35"/>
  <c r="AF4" i="35"/>
  <c r="AE4" i="35"/>
  <c r="AD4" i="35"/>
  <c r="AC4" i="35"/>
  <c r="AB4" i="35"/>
  <c r="AA4" i="35"/>
  <c r="Z4" i="35"/>
  <c r="Y4" i="35"/>
  <c r="X4" i="35"/>
  <c r="W4" i="35"/>
  <c r="V4" i="35"/>
  <c r="R4" i="35"/>
  <c r="S4" i="35" s="1"/>
  <c r="Q33" i="34"/>
  <c r="BT33" i="34" s="1"/>
  <c r="P33" i="34"/>
  <c r="BS33" i="34" s="1"/>
  <c r="O33" i="34"/>
  <c r="BR33" i="34" s="1"/>
  <c r="N33" i="34"/>
  <c r="BQ33" i="34" s="1"/>
  <c r="M33" i="34"/>
  <c r="BP33" i="34" s="1"/>
  <c r="L33" i="34"/>
  <c r="BO33" i="34" s="1"/>
  <c r="K33" i="34"/>
  <c r="BN33" i="34" s="1"/>
  <c r="J33" i="34"/>
  <c r="BM33" i="34" s="1"/>
  <c r="I33" i="34"/>
  <c r="BL33" i="34" s="1"/>
  <c r="H33" i="34"/>
  <c r="BK33" i="34" s="1"/>
  <c r="G33" i="34"/>
  <c r="BJ33" i="34" s="1"/>
  <c r="F33" i="34"/>
  <c r="BI33" i="34" s="1"/>
  <c r="E33" i="34"/>
  <c r="BH33" i="34" s="1"/>
  <c r="D33" i="34"/>
  <c r="BG33" i="34" s="1"/>
  <c r="C33" i="34"/>
  <c r="AJ32" i="34"/>
  <c r="AI32" i="34"/>
  <c r="AH32" i="34"/>
  <c r="AG32" i="34"/>
  <c r="AF32" i="34"/>
  <c r="AE32" i="34"/>
  <c r="AD32" i="34"/>
  <c r="AC32" i="34"/>
  <c r="AB32" i="34"/>
  <c r="AA32" i="34"/>
  <c r="Z32" i="34"/>
  <c r="Y32" i="34"/>
  <c r="X32" i="34"/>
  <c r="W32" i="34"/>
  <c r="V32" i="34"/>
  <c r="R32" i="34"/>
  <c r="S32" i="34" s="1"/>
  <c r="AJ31" i="34"/>
  <c r="AI31" i="34"/>
  <c r="AH31" i="34"/>
  <c r="AG31" i="34"/>
  <c r="AF31" i="34"/>
  <c r="AE31" i="34"/>
  <c r="AD31" i="34"/>
  <c r="AC31" i="34"/>
  <c r="AB31" i="34"/>
  <c r="AA31" i="34"/>
  <c r="Z31" i="34"/>
  <c r="Y31" i="34"/>
  <c r="X31" i="34"/>
  <c r="W31" i="34"/>
  <c r="V31" i="34"/>
  <c r="R31" i="34"/>
  <c r="S31" i="34" s="1"/>
  <c r="AJ30" i="34"/>
  <c r="AI30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R30" i="34"/>
  <c r="S30" i="34" s="1"/>
  <c r="AJ29" i="34"/>
  <c r="AI29" i="34"/>
  <c r="AH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R29" i="34"/>
  <c r="S29" i="34" s="1"/>
  <c r="AJ28" i="34"/>
  <c r="AI28" i="34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R28" i="34"/>
  <c r="S28" i="34" s="1"/>
  <c r="AJ27" i="34"/>
  <c r="AI27" i="34"/>
  <c r="AH27" i="34"/>
  <c r="AG27" i="34"/>
  <c r="AF27" i="34"/>
  <c r="AE27" i="34"/>
  <c r="AD27" i="34"/>
  <c r="AC27" i="34"/>
  <c r="AB27" i="34"/>
  <c r="AA27" i="34"/>
  <c r="Z27" i="34"/>
  <c r="Y27" i="34"/>
  <c r="X27" i="34"/>
  <c r="W27" i="34"/>
  <c r="V27" i="34"/>
  <c r="R27" i="34"/>
  <c r="S27" i="34" s="1"/>
  <c r="AJ26" i="34"/>
  <c r="AI26" i="34"/>
  <c r="AH26" i="34"/>
  <c r="AG26" i="34"/>
  <c r="AF26" i="34"/>
  <c r="AE26" i="34"/>
  <c r="AD26" i="34"/>
  <c r="AC26" i="34"/>
  <c r="AB26" i="34"/>
  <c r="AA26" i="34"/>
  <c r="Z26" i="34"/>
  <c r="Y26" i="34"/>
  <c r="X26" i="34"/>
  <c r="W26" i="34"/>
  <c r="V26" i="34"/>
  <c r="AK26" i="34" s="1"/>
  <c r="R26" i="34"/>
  <c r="S26" i="34" s="1"/>
  <c r="AJ25" i="34"/>
  <c r="AI25" i="34"/>
  <c r="AH25" i="34"/>
  <c r="AG25" i="34"/>
  <c r="AF25" i="34"/>
  <c r="AE25" i="34"/>
  <c r="AD25" i="34"/>
  <c r="AC25" i="34"/>
  <c r="AB25" i="34"/>
  <c r="AA25" i="34"/>
  <c r="Z25" i="34"/>
  <c r="Y25" i="34"/>
  <c r="X25" i="34"/>
  <c r="W25" i="34"/>
  <c r="V25" i="34"/>
  <c r="R25" i="34"/>
  <c r="S25" i="34" s="1"/>
  <c r="AJ24" i="34"/>
  <c r="AI24" i="34"/>
  <c r="AH24" i="34"/>
  <c r="AG24" i="34"/>
  <c r="AF24" i="34"/>
  <c r="AE24" i="34"/>
  <c r="AD24" i="34"/>
  <c r="AC24" i="34"/>
  <c r="AB24" i="34"/>
  <c r="AA24" i="34"/>
  <c r="Z24" i="34"/>
  <c r="Y24" i="34"/>
  <c r="X24" i="34"/>
  <c r="W24" i="34"/>
  <c r="V24" i="34"/>
  <c r="R24" i="34"/>
  <c r="S24" i="34" s="1"/>
  <c r="AJ23" i="34"/>
  <c r="AI23" i="34"/>
  <c r="AH23" i="34"/>
  <c r="AG23" i="34"/>
  <c r="AF23" i="34"/>
  <c r="AE23" i="34"/>
  <c r="AD23" i="34"/>
  <c r="AC23" i="34"/>
  <c r="AB23" i="34"/>
  <c r="AA23" i="34"/>
  <c r="Z23" i="34"/>
  <c r="Y23" i="34"/>
  <c r="X23" i="34"/>
  <c r="W23" i="34"/>
  <c r="V23" i="34"/>
  <c r="R23" i="34"/>
  <c r="S23" i="34" s="1"/>
  <c r="AJ22" i="34"/>
  <c r="AI22" i="34"/>
  <c r="AH22" i="34"/>
  <c r="AG22" i="34"/>
  <c r="AF22" i="34"/>
  <c r="AE22" i="34"/>
  <c r="AD22" i="34"/>
  <c r="AC22" i="34"/>
  <c r="AB22" i="34"/>
  <c r="AA22" i="34"/>
  <c r="Z22" i="34"/>
  <c r="Y22" i="34"/>
  <c r="X22" i="34"/>
  <c r="W22" i="34"/>
  <c r="V22" i="34"/>
  <c r="AK22" i="34" s="1"/>
  <c r="R22" i="34"/>
  <c r="S22" i="34" s="1"/>
  <c r="AJ21" i="34"/>
  <c r="AI21" i="34"/>
  <c r="AH21" i="34"/>
  <c r="AG21" i="34"/>
  <c r="AG33" i="34" s="1"/>
  <c r="AF21" i="34"/>
  <c r="AE21" i="34"/>
  <c r="AD21" i="34"/>
  <c r="AC21" i="34"/>
  <c r="AC33" i="34" s="1"/>
  <c r="AB21" i="34"/>
  <c r="AA21" i="34"/>
  <c r="Z21" i="34"/>
  <c r="Y21" i="34"/>
  <c r="Y33" i="34" s="1"/>
  <c r="X21" i="34"/>
  <c r="W21" i="34"/>
  <c r="V21" i="34"/>
  <c r="R21" i="34"/>
  <c r="S21" i="34" s="1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R15" i="34"/>
  <c r="S15" i="34" s="1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R14" i="34"/>
  <c r="S14" i="34" s="1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R13" i="34"/>
  <c r="S13" i="34" s="1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R12" i="34"/>
  <c r="S12" i="34" s="1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R11" i="34"/>
  <c r="S11" i="34" s="1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R10" i="34"/>
  <c r="S10" i="34" s="1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R9" i="34"/>
  <c r="S9" i="34" s="1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R8" i="34"/>
  <c r="S8" i="34" s="1"/>
  <c r="AJ7" i="34"/>
  <c r="AI7" i="34"/>
  <c r="AH7" i="34"/>
  <c r="AG7" i="34"/>
  <c r="AF7" i="34"/>
  <c r="AE7" i="34"/>
  <c r="AD7" i="34"/>
  <c r="AC7" i="34"/>
  <c r="AB7" i="34"/>
  <c r="AA7" i="34"/>
  <c r="Z7" i="34"/>
  <c r="Y7" i="34"/>
  <c r="X7" i="34"/>
  <c r="W7" i="34"/>
  <c r="V7" i="34"/>
  <c r="R7" i="34"/>
  <c r="S7" i="34" s="1"/>
  <c r="AJ6" i="34"/>
  <c r="AI6" i="34"/>
  <c r="AH6" i="34"/>
  <c r="AG6" i="34"/>
  <c r="AF6" i="34"/>
  <c r="AE6" i="34"/>
  <c r="AD6" i="34"/>
  <c r="AC6" i="34"/>
  <c r="AB6" i="34"/>
  <c r="AA6" i="34"/>
  <c r="Z6" i="34"/>
  <c r="Y6" i="34"/>
  <c r="X6" i="34"/>
  <c r="W6" i="34"/>
  <c r="V6" i="34"/>
  <c r="R6" i="34"/>
  <c r="S6" i="34" s="1"/>
  <c r="AJ5" i="34"/>
  <c r="AI5" i="34"/>
  <c r="AH5" i="34"/>
  <c r="AG5" i="34"/>
  <c r="AF5" i="34"/>
  <c r="AE5" i="34"/>
  <c r="AD5" i="34"/>
  <c r="AC5" i="34"/>
  <c r="AB5" i="34"/>
  <c r="AA5" i="34"/>
  <c r="Z5" i="34"/>
  <c r="Y5" i="34"/>
  <c r="X5" i="34"/>
  <c r="W5" i="34"/>
  <c r="V5" i="34"/>
  <c r="R5" i="34"/>
  <c r="S5" i="34" s="1"/>
  <c r="AJ4" i="34"/>
  <c r="AJ16" i="34" s="1"/>
  <c r="AI4" i="34"/>
  <c r="AH4" i="34"/>
  <c r="AG4" i="34"/>
  <c r="AF4" i="34"/>
  <c r="AF16" i="34" s="1"/>
  <c r="AE4" i="34"/>
  <c r="AD4" i="34"/>
  <c r="AC4" i="34"/>
  <c r="AB4" i="34"/>
  <c r="AB16" i="34" s="1"/>
  <c r="AA4" i="34"/>
  <c r="Z4" i="34"/>
  <c r="Y4" i="34"/>
  <c r="X4" i="34"/>
  <c r="X16" i="34" s="1"/>
  <c r="W4" i="34"/>
  <c r="V4" i="34"/>
  <c r="R4" i="34"/>
  <c r="S4" i="34" s="1"/>
  <c r="Q33" i="33"/>
  <c r="BT33" i="33" s="1"/>
  <c r="P33" i="33"/>
  <c r="BS33" i="33" s="1"/>
  <c r="O33" i="33"/>
  <c r="BR33" i="33" s="1"/>
  <c r="N33" i="33"/>
  <c r="BQ33" i="33" s="1"/>
  <c r="M33" i="33"/>
  <c r="BP33" i="33" s="1"/>
  <c r="L33" i="33"/>
  <c r="BO33" i="33" s="1"/>
  <c r="K33" i="33"/>
  <c r="BN33" i="33" s="1"/>
  <c r="J33" i="33"/>
  <c r="BM33" i="33" s="1"/>
  <c r="I33" i="33"/>
  <c r="BL33" i="33" s="1"/>
  <c r="H33" i="33"/>
  <c r="BK33" i="33" s="1"/>
  <c r="G33" i="33"/>
  <c r="BJ33" i="33" s="1"/>
  <c r="F33" i="33"/>
  <c r="BI33" i="33" s="1"/>
  <c r="E33" i="33"/>
  <c r="BH33" i="33" s="1"/>
  <c r="D33" i="33"/>
  <c r="BG33" i="33" s="1"/>
  <c r="C33" i="33"/>
  <c r="BF33" i="33" s="1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R32" i="33"/>
  <c r="S32" i="33" s="1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R31" i="33"/>
  <c r="S31" i="33" s="1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R30" i="33"/>
  <c r="S30" i="33" s="1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R29" i="33"/>
  <c r="S29" i="33" s="1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R28" i="33"/>
  <c r="S28" i="33" s="1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R27" i="33"/>
  <c r="S27" i="33" s="1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R26" i="33"/>
  <c r="S26" i="33" s="1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R25" i="33"/>
  <c r="S25" i="33" s="1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R24" i="33"/>
  <c r="S24" i="33" s="1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R23" i="33"/>
  <c r="S23" i="33" s="1"/>
  <c r="AJ22" i="33"/>
  <c r="AI22" i="33"/>
  <c r="AH22" i="33"/>
  <c r="AG22" i="33"/>
  <c r="AF22" i="33"/>
  <c r="AE22" i="33"/>
  <c r="AD22" i="33"/>
  <c r="AC22" i="33"/>
  <c r="AB22" i="33"/>
  <c r="AA22" i="33"/>
  <c r="Z22" i="33"/>
  <c r="Y22" i="33"/>
  <c r="X22" i="33"/>
  <c r="W22" i="33"/>
  <c r="V22" i="33"/>
  <c r="R22" i="33"/>
  <c r="S22" i="33" s="1"/>
  <c r="AJ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V21" i="33"/>
  <c r="R21" i="33"/>
  <c r="S21" i="33" s="1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J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R15" i="33"/>
  <c r="S15" i="33" s="1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R14" i="33"/>
  <c r="S14" i="33" s="1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R13" i="33"/>
  <c r="S13" i="33" s="1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R12" i="33"/>
  <c r="S12" i="33" s="1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R11" i="33"/>
  <c r="S11" i="33" s="1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R10" i="33"/>
  <c r="S10" i="33" s="1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R9" i="33"/>
  <c r="S9" i="33" s="1"/>
  <c r="AJ8" i="33"/>
  <c r="AI8" i="33"/>
  <c r="AH8" i="33"/>
  <c r="AG8" i="33"/>
  <c r="AF8" i="33"/>
  <c r="AE8" i="33"/>
  <c r="AD8" i="33"/>
  <c r="AC8" i="33"/>
  <c r="AB8" i="33"/>
  <c r="AA8" i="33"/>
  <c r="Z8" i="33"/>
  <c r="Y8" i="33"/>
  <c r="X8" i="33"/>
  <c r="W8" i="33"/>
  <c r="V8" i="33"/>
  <c r="R8" i="33"/>
  <c r="S8" i="33" s="1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R7" i="33"/>
  <c r="S7" i="33" s="1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R6" i="33"/>
  <c r="S6" i="33" s="1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R5" i="33"/>
  <c r="S5" i="33" s="1"/>
  <c r="AJ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V4" i="33"/>
  <c r="R4" i="33"/>
  <c r="S4" i="33" s="1"/>
  <c r="Q33" i="32"/>
  <c r="BT33" i="32" s="1"/>
  <c r="P33" i="32"/>
  <c r="BS33" i="32" s="1"/>
  <c r="O33" i="32"/>
  <c r="BR33" i="32" s="1"/>
  <c r="N33" i="32"/>
  <c r="BQ33" i="32" s="1"/>
  <c r="M33" i="32"/>
  <c r="BP33" i="32" s="1"/>
  <c r="L33" i="32"/>
  <c r="BO33" i="32" s="1"/>
  <c r="K33" i="32"/>
  <c r="BN33" i="32" s="1"/>
  <c r="J33" i="32"/>
  <c r="BM33" i="32" s="1"/>
  <c r="I33" i="32"/>
  <c r="BL33" i="32" s="1"/>
  <c r="H33" i="32"/>
  <c r="BK33" i="32" s="1"/>
  <c r="E33" i="32"/>
  <c r="BH33" i="32" s="1"/>
  <c r="D33" i="32"/>
  <c r="BG33" i="32" s="1"/>
  <c r="C33" i="32"/>
  <c r="BF33" i="32" s="1"/>
  <c r="AJ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R32" i="32"/>
  <c r="S32" i="32" s="1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R31" i="32"/>
  <c r="S31" i="32" s="1"/>
  <c r="AJ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R30" i="32"/>
  <c r="S30" i="32" s="1"/>
  <c r="AJ29" i="32"/>
  <c r="AI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R29" i="32"/>
  <c r="S29" i="32" s="1"/>
  <c r="AJ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R28" i="32"/>
  <c r="S28" i="32" s="1"/>
  <c r="AJ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R27" i="32"/>
  <c r="S27" i="32" s="1"/>
  <c r="AJ26" i="32"/>
  <c r="AI26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R26" i="32"/>
  <c r="S26" i="32" s="1"/>
  <c r="AJ25" i="32"/>
  <c r="AI25" i="32"/>
  <c r="AH25" i="32"/>
  <c r="AG25" i="32"/>
  <c r="AF25" i="32"/>
  <c r="AE25" i="32"/>
  <c r="AD25" i="32"/>
  <c r="AC25" i="32"/>
  <c r="AB25" i="32"/>
  <c r="AA25" i="32"/>
  <c r="Z25" i="32"/>
  <c r="Y25" i="32"/>
  <c r="X25" i="32"/>
  <c r="W25" i="32"/>
  <c r="V25" i="32"/>
  <c r="R25" i="32"/>
  <c r="S25" i="32" s="1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R24" i="32"/>
  <c r="S24" i="32" s="1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R23" i="32"/>
  <c r="S23" i="32" s="1"/>
  <c r="AJ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R22" i="32"/>
  <c r="S22" i="32" s="1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R21" i="32"/>
  <c r="S21" i="32" s="1"/>
  <c r="Q16" i="32"/>
  <c r="P16" i="32"/>
  <c r="O16" i="32"/>
  <c r="N16" i="32"/>
  <c r="M16" i="32"/>
  <c r="L16" i="32"/>
  <c r="K16" i="32"/>
  <c r="J16" i="32"/>
  <c r="I16" i="32"/>
  <c r="H16" i="32"/>
  <c r="F16" i="32"/>
  <c r="E16" i="32"/>
  <c r="D16" i="32"/>
  <c r="AJ15" i="32"/>
  <c r="AI15" i="32"/>
  <c r="AH15" i="32"/>
  <c r="AG15" i="32"/>
  <c r="AF15" i="32"/>
  <c r="AE15" i="32"/>
  <c r="AD15" i="32"/>
  <c r="AC15" i="32"/>
  <c r="AB15" i="32"/>
  <c r="AA15" i="32"/>
  <c r="Z15" i="32"/>
  <c r="Y15" i="32"/>
  <c r="X15" i="32"/>
  <c r="W15" i="32"/>
  <c r="V15" i="32"/>
  <c r="R15" i="32"/>
  <c r="S15" i="32" s="1"/>
  <c r="AJ14" i="32"/>
  <c r="AI14" i="32"/>
  <c r="AH14" i="32"/>
  <c r="AG14" i="32"/>
  <c r="AF14" i="32"/>
  <c r="AE14" i="32"/>
  <c r="AD14" i="32"/>
  <c r="AC14" i="32"/>
  <c r="AB14" i="32"/>
  <c r="AA14" i="32"/>
  <c r="Z14" i="32"/>
  <c r="Y14" i="32"/>
  <c r="X14" i="32"/>
  <c r="W14" i="32"/>
  <c r="V14" i="32"/>
  <c r="R14" i="32"/>
  <c r="S14" i="32" s="1"/>
  <c r="AJ13" i="32"/>
  <c r="AI13" i="32"/>
  <c r="AH13" i="32"/>
  <c r="AG13" i="32"/>
  <c r="AF13" i="32"/>
  <c r="AE13" i="32"/>
  <c r="AD13" i="32"/>
  <c r="AC13" i="32"/>
  <c r="AB13" i="32"/>
  <c r="AA13" i="32"/>
  <c r="Z13" i="32"/>
  <c r="Y13" i="32"/>
  <c r="X13" i="32"/>
  <c r="W13" i="32"/>
  <c r="V13" i="32"/>
  <c r="R13" i="32"/>
  <c r="S13" i="32" s="1"/>
  <c r="AJ12" i="32"/>
  <c r="AI12" i="32"/>
  <c r="AH12" i="32"/>
  <c r="AG12" i="32"/>
  <c r="AF12" i="32"/>
  <c r="AE12" i="32"/>
  <c r="AD12" i="32"/>
  <c r="AC12" i="32"/>
  <c r="AB12" i="32"/>
  <c r="AA12" i="32"/>
  <c r="Z12" i="32"/>
  <c r="Y12" i="32"/>
  <c r="X12" i="32"/>
  <c r="W12" i="32"/>
  <c r="V12" i="32"/>
  <c r="R12" i="32"/>
  <c r="S12" i="32" s="1"/>
  <c r="AJ11" i="32"/>
  <c r="AI11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R11" i="32"/>
  <c r="S11" i="32" s="1"/>
  <c r="AJ10" i="32"/>
  <c r="AI10" i="32"/>
  <c r="AH10" i="32"/>
  <c r="AG10" i="32"/>
  <c r="AF10" i="32"/>
  <c r="AE10" i="32"/>
  <c r="AD10" i="32"/>
  <c r="AC10" i="32"/>
  <c r="AB10" i="32"/>
  <c r="AA10" i="32"/>
  <c r="Z10" i="32"/>
  <c r="Y10" i="32"/>
  <c r="X10" i="32"/>
  <c r="W10" i="32"/>
  <c r="V10" i="32"/>
  <c r="R10" i="32"/>
  <c r="S10" i="32" s="1"/>
  <c r="AJ9" i="32"/>
  <c r="AI9" i="32"/>
  <c r="AH9" i="32"/>
  <c r="AG9" i="32"/>
  <c r="AF9" i="32"/>
  <c r="AE9" i="32"/>
  <c r="AD9" i="32"/>
  <c r="AC9" i="32"/>
  <c r="AB9" i="32"/>
  <c r="AA9" i="32"/>
  <c r="Z9" i="32"/>
  <c r="Y9" i="32"/>
  <c r="X9" i="32"/>
  <c r="W9" i="32"/>
  <c r="V9" i="32"/>
  <c r="R9" i="32"/>
  <c r="S9" i="32" s="1"/>
  <c r="AJ8" i="32"/>
  <c r="AI8" i="32"/>
  <c r="AH8" i="32"/>
  <c r="AG8" i="32"/>
  <c r="AF8" i="32"/>
  <c r="AE8" i="32"/>
  <c r="AD8" i="32"/>
  <c r="AC8" i="32"/>
  <c r="AB8" i="32"/>
  <c r="AA8" i="32"/>
  <c r="Z8" i="32"/>
  <c r="Y8" i="32"/>
  <c r="X8" i="32"/>
  <c r="W8" i="32"/>
  <c r="V8" i="32"/>
  <c r="R8" i="32"/>
  <c r="S8" i="32" s="1"/>
  <c r="AJ7" i="32"/>
  <c r="AI7" i="32"/>
  <c r="AH7" i="32"/>
  <c r="AG7" i="32"/>
  <c r="AF7" i="32"/>
  <c r="AE7" i="32"/>
  <c r="AD7" i="32"/>
  <c r="AC7" i="32"/>
  <c r="AB7" i="32"/>
  <c r="AA7" i="32"/>
  <c r="Z7" i="32"/>
  <c r="Y7" i="32"/>
  <c r="X7" i="32"/>
  <c r="W7" i="32"/>
  <c r="V7" i="32"/>
  <c r="R7" i="32"/>
  <c r="S7" i="32" s="1"/>
  <c r="AJ6" i="32"/>
  <c r="AI6" i="32"/>
  <c r="AH6" i="32"/>
  <c r="AG6" i="32"/>
  <c r="AF6" i="32"/>
  <c r="AE6" i="32"/>
  <c r="AD6" i="32"/>
  <c r="AC6" i="32"/>
  <c r="AB6" i="32"/>
  <c r="AA6" i="32"/>
  <c r="Z6" i="32"/>
  <c r="Y6" i="32"/>
  <c r="X6" i="32"/>
  <c r="W6" i="32"/>
  <c r="V6" i="32"/>
  <c r="R6" i="32"/>
  <c r="S6" i="32" s="1"/>
  <c r="AJ5" i="32"/>
  <c r="AI5" i="32"/>
  <c r="AH5" i="32"/>
  <c r="AG5" i="32"/>
  <c r="AF5" i="32"/>
  <c r="AE5" i="32"/>
  <c r="AD5" i="32"/>
  <c r="AC5" i="32"/>
  <c r="AB5" i="32"/>
  <c r="AA5" i="32"/>
  <c r="Z5" i="32"/>
  <c r="Y5" i="32"/>
  <c r="X5" i="32"/>
  <c r="W5" i="32"/>
  <c r="V5" i="32"/>
  <c r="R5" i="32"/>
  <c r="S5" i="32" s="1"/>
  <c r="AJ4" i="32"/>
  <c r="AI4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R4" i="32"/>
  <c r="S4" i="32" s="1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AI22" i="26"/>
  <c r="AJ22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AI23" i="26"/>
  <c r="AJ23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AI25" i="26"/>
  <c r="AJ25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AI27" i="26"/>
  <c r="AJ27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AI29" i="26"/>
  <c r="AJ29" i="26"/>
  <c r="V30" i="26"/>
  <c r="W30" i="26"/>
  <c r="X30" i="26"/>
  <c r="Y30" i="26"/>
  <c r="Z30" i="26"/>
  <c r="AA30" i="26"/>
  <c r="AB30" i="26"/>
  <c r="AC30" i="26"/>
  <c r="AD30" i="26"/>
  <c r="AE30" i="26"/>
  <c r="AF30" i="26"/>
  <c r="AG30" i="26"/>
  <c r="AH30" i="26"/>
  <c r="AI30" i="26"/>
  <c r="AJ30" i="26"/>
  <c r="V31" i="26"/>
  <c r="W31" i="26"/>
  <c r="X31" i="26"/>
  <c r="Y31" i="26"/>
  <c r="Z31" i="26"/>
  <c r="AA31" i="26"/>
  <c r="AB31" i="26"/>
  <c r="AC31" i="26"/>
  <c r="AD31" i="26"/>
  <c r="AE31" i="26"/>
  <c r="AF31" i="26"/>
  <c r="AG31" i="26"/>
  <c r="AH31" i="26"/>
  <c r="AI31" i="26"/>
  <c r="AJ31" i="26"/>
  <c r="V32" i="26"/>
  <c r="W32" i="26"/>
  <c r="X32" i="26"/>
  <c r="Y32" i="26"/>
  <c r="Z32" i="26"/>
  <c r="AA32" i="26"/>
  <c r="AB32" i="26"/>
  <c r="AC32" i="26"/>
  <c r="AD32" i="26"/>
  <c r="AE32" i="26"/>
  <c r="AF32" i="26"/>
  <c r="AG32" i="26"/>
  <c r="AH32" i="26"/>
  <c r="AI32" i="26"/>
  <c r="AJ32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BB32" i="26"/>
  <c r="BA32" i="26"/>
  <c r="AZ32" i="26"/>
  <c r="AY32" i="26"/>
  <c r="AX32" i="26"/>
  <c r="AW32" i="26"/>
  <c r="AV32" i="26"/>
  <c r="AU32" i="26"/>
  <c r="AT32" i="26"/>
  <c r="AS32" i="26"/>
  <c r="AR32" i="26"/>
  <c r="AQ32" i="26"/>
  <c r="AP32" i="26"/>
  <c r="AO32" i="26"/>
  <c r="AN32" i="26"/>
  <c r="BB31" i="26"/>
  <c r="BA31" i="26"/>
  <c r="AZ31" i="26"/>
  <c r="AY31" i="26"/>
  <c r="AX31" i="26"/>
  <c r="AW31" i="26"/>
  <c r="AV31" i="26"/>
  <c r="AU31" i="26"/>
  <c r="AT31" i="26"/>
  <c r="AS31" i="26"/>
  <c r="AR31" i="26"/>
  <c r="AQ31" i="26"/>
  <c r="AP31" i="26"/>
  <c r="AO31" i="26"/>
  <c r="AN31" i="26"/>
  <c r="BB30" i="26"/>
  <c r="BA30" i="26"/>
  <c r="AZ30" i="26"/>
  <c r="AY30" i="26"/>
  <c r="AX30" i="26"/>
  <c r="AW30" i="26"/>
  <c r="AV30" i="26"/>
  <c r="AU30" i="26"/>
  <c r="AT30" i="26"/>
  <c r="AS30" i="26"/>
  <c r="AR30" i="26"/>
  <c r="AQ30" i="26"/>
  <c r="AP30" i="26"/>
  <c r="AO30" i="26"/>
  <c r="AN30" i="26"/>
  <c r="BB29" i="26"/>
  <c r="BA29" i="26"/>
  <c r="AZ29" i="26"/>
  <c r="AY29" i="26"/>
  <c r="AX29" i="26"/>
  <c r="AW29" i="26"/>
  <c r="AV29" i="26"/>
  <c r="AU29" i="26"/>
  <c r="AT29" i="26"/>
  <c r="AS29" i="26"/>
  <c r="AR29" i="26"/>
  <c r="AQ29" i="26"/>
  <c r="AP29" i="26"/>
  <c r="AO29" i="26"/>
  <c r="AN29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BB27" i="26"/>
  <c r="BA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BB26" i="26"/>
  <c r="BA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N26" i="26"/>
  <c r="BB25" i="26"/>
  <c r="BA25" i="26"/>
  <c r="AZ25" i="26"/>
  <c r="AY25" i="26"/>
  <c r="AX25" i="26"/>
  <c r="AW25" i="26"/>
  <c r="AV25" i="26"/>
  <c r="AU25" i="26"/>
  <c r="AT25" i="26"/>
  <c r="AS25" i="26"/>
  <c r="AR25" i="26"/>
  <c r="AQ25" i="26"/>
  <c r="AP25" i="26"/>
  <c r="AO25" i="26"/>
  <c r="AN25" i="26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BB23" i="26"/>
  <c r="BA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BB22" i="26"/>
  <c r="BA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BB21" i="26"/>
  <c r="BA21" i="26"/>
  <c r="AZ21" i="26"/>
  <c r="AY21" i="26"/>
  <c r="AX21" i="26"/>
  <c r="AW21" i="26"/>
  <c r="AV21" i="26"/>
  <c r="AU21" i="26"/>
  <c r="AT21" i="26"/>
  <c r="AS21" i="26"/>
  <c r="AR21" i="26"/>
  <c r="AQ21" i="26"/>
  <c r="AP21" i="26"/>
  <c r="AO21" i="26"/>
  <c r="AN21" i="26"/>
  <c r="AN5" i="26"/>
  <c r="AO5" i="26"/>
  <c r="AP5" i="26"/>
  <c r="AQ5" i="26"/>
  <c r="AR5" i="26"/>
  <c r="AS5" i="26"/>
  <c r="AT5" i="26"/>
  <c r="AU5" i="26"/>
  <c r="AV5" i="26"/>
  <c r="AW5" i="26"/>
  <c r="AX5" i="26"/>
  <c r="AY5" i="26"/>
  <c r="AZ5" i="26"/>
  <c r="BA5" i="26"/>
  <c r="BB5" i="26"/>
  <c r="AN6" i="26"/>
  <c r="AO6" i="26"/>
  <c r="AP6" i="26"/>
  <c r="AQ6" i="26"/>
  <c r="AR6" i="26"/>
  <c r="AS6" i="26"/>
  <c r="AT6" i="26"/>
  <c r="AU6" i="26"/>
  <c r="AV6" i="26"/>
  <c r="AW6" i="26"/>
  <c r="AX6" i="26"/>
  <c r="AY6" i="26"/>
  <c r="AZ6" i="26"/>
  <c r="BA6" i="26"/>
  <c r="BB6" i="26"/>
  <c r="AN7" i="26"/>
  <c r="AO7" i="26"/>
  <c r="AP7" i="26"/>
  <c r="AQ7" i="26"/>
  <c r="AR7" i="26"/>
  <c r="AS7" i="26"/>
  <c r="AT7" i="26"/>
  <c r="AU7" i="26"/>
  <c r="AV7" i="26"/>
  <c r="AW7" i="26"/>
  <c r="AX7" i="26"/>
  <c r="AY7" i="26"/>
  <c r="AZ7" i="26"/>
  <c r="BA7" i="26"/>
  <c r="BB7" i="26"/>
  <c r="AN8" i="26"/>
  <c r="AO8" i="26"/>
  <c r="AP8" i="26"/>
  <c r="AQ8" i="26"/>
  <c r="AR8" i="26"/>
  <c r="AS8" i="26"/>
  <c r="AT8" i="26"/>
  <c r="AU8" i="26"/>
  <c r="AV8" i="26"/>
  <c r="AW8" i="26"/>
  <c r="AX8" i="26"/>
  <c r="AY8" i="26"/>
  <c r="AZ8" i="26"/>
  <c r="BA8" i="26"/>
  <c r="BB8" i="26"/>
  <c r="AN9" i="26"/>
  <c r="AO9" i="26"/>
  <c r="AP9" i="26"/>
  <c r="AQ9" i="26"/>
  <c r="AR9" i="26"/>
  <c r="AS9" i="26"/>
  <c r="AT9" i="26"/>
  <c r="AU9" i="26"/>
  <c r="AV9" i="26"/>
  <c r="AW9" i="26"/>
  <c r="AX9" i="26"/>
  <c r="AY9" i="26"/>
  <c r="AZ9" i="26"/>
  <c r="BA9" i="26"/>
  <c r="BB9" i="26"/>
  <c r="AN10" i="26"/>
  <c r="AO10" i="26"/>
  <c r="AP10" i="26"/>
  <c r="AQ10" i="26"/>
  <c r="AR10" i="26"/>
  <c r="AS10" i="26"/>
  <c r="AT10" i="26"/>
  <c r="AU10" i="26"/>
  <c r="AV10" i="26"/>
  <c r="AW10" i="26"/>
  <c r="AX10" i="26"/>
  <c r="AY10" i="26"/>
  <c r="AZ10" i="26"/>
  <c r="BA10" i="26"/>
  <c r="BB10" i="26"/>
  <c r="AN11" i="26"/>
  <c r="AO11" i="26"/>
  <c r="AP11" i="26"/>
  <c r="AQ11" i="26"/>
  <c r="AR11" i="26"/>
  <c r="AS11" i="26"/>
  <c r="AT11" i="26"/>
  <c r="AU11" i="26"/>
  <c r="AV11" i="26"/>
  <c r="AW11" i="26"/>
  <c r="AX11" i="26"/>
  <c r="AY11" i="26"/>
  <c r="AZ11" i="26"/>
  <c r="BA11" i="26"/>
  <c r="BB11" i="26"/>
  <c r="AN12" i="26"/>
  <c r="AO12" i="26"/>
  <c r="AP12" i="26"/>
  <c r="AQ12" i="26"/>
  <c r="AR12" i="26"/>
  <c r="AS12" i="26"/>
  <c r="AT12" i="26"/>
  <c r="AU12" i="26"/>
  <c r="AV12" i="26"/>
  <c r="AW12" i="26"/>
  <c r="AX12" i="26"/>
  <c r="AY12" i="26"/>
  <c r="AZ12" i="26"/>
  <c r="BA12" i="26"/>
  <c r="BB12" i="26"/>
  <c r="AN13" i="26"/>
  <c r="AO13" i="26"/>
  <c r="AP13" i="26"/>
  <c r="AQ13" i="26"/>
  <c r="AR13" i="26"/>
  <c r="AS13" i="26"/>
  <c r="AT13" i="26"/>
  <c r="AU13" i="26"/>
  <c r="AV13" i="26"/>
  <c r="AW13" i="26"/>
  <c r="AX13" i="26"/>
  <c r="AY13" i="26"/>
  <c r="AZ13" i="26"/>
  <c r="BA13" i="26"/>
  <c r="BB13" i="26"/>
  <c r="AN14" i="26"/>
  <c r="AO14" i="26"/>
  <c r="AP14" i="26"/>
  <c r="AQ14" i="26"/>
  <c r="AR14" i="26"/>
  <c r="AS14" i="26"/>
  <c r="AT14" i="26"/>
  <c r="AU14" i="26"/>
  <c r="AV14" i="26"/>
  <c r="AW14" i="26"/>
  <c r="AX14" i="26"/>
  <c r="AY14" i="26"/>
  <c r="AZ14" i="26"/>
  <c r="BA14" i="26"/>
  <c r="BB14" i="26"/>
  <c r="AN15" i="26"/>
  <c r="AO15" i="26"/>
  <c r="AP15" i="26"/>
  <c r="AQ15" i="26"/>
  <c r="AR15" i="26"/>
  <c r="AS15" i="26"/>
  <c r="AT15" i="26"/>
  <c r="AU15" i="26"/>
  <c r="AV15" i="26"/>
  <c r="AW15" i="26"/>
  <c r="AX15" i="26"/>
  <c r="AY15" i="26"/>
  <c r="AZ15" i="26"/>
  <c r="BA15" i="26"/>
  <c r="BB15" i="26"/>
  <c r="BB4" i="26"/>
  <c r="BA4" i="26"/>
  <c r="AZ4" i="26"/>
  <c r="AY4" i="26"/>
  <c r="AX4" i="26"/>
  <c r="AW4" i="26"/>
  <c r="AV4" i="26"/>
  <c r="AU4" i="26"/>
  <c r="AT4" i="26"/>
  <c r="AS4" i="26"/>
  <c r="AR4" i="26"/>
  <c r="AQ4" i="26"/>
  <c r="AP4" i="26"/>
  <c r="AO4" i="26"/>
  <c r="AN4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AI5" i="26"/>
  <c r="AJ5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AI6" i="26"/>
  <c r="AJ6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AI7" i="26"/>
  <c r="AJ7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AI8" i="26"/>
  <c r="AJ8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AI9" i="26"/>
  <c r="AJ9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AI10" i="26"/>
  <c r="AJ10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AI11" i="26"/>
  <c r="AJ11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AI12" i="26"/>
  <c r="AJ12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AI13" i="26"/>
  <c r="AJ13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AI14" i="26"/>
  <c r="AJ14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AI15" i="26"/>
  <c r="AJ15" i="26"/>
  <c r="AJ4" i="26"/>
  <c r="AI4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AK4" i="26" s="1"/>
  <c r="G33" i="26"/>
  <c r="BJ33" i="26" s="1"/>
  <c r="F33" i="26"/>
  <c r="BI33" i="26" s="1"/>
  <c r="C33" i="26"/>
  <c r="BF33" i="26" s="1"/>
  <c r="C16" i="26"/>
  <c r="Q33" i="26"/>
  <c r="BT33" i="26" s="1"/>
  <c r="P33" i="26"/>
  <c r="BS33" i="26" s="1"/>
  <c r="O33" i="26"/>
  <c r="BR33" i="26" s="1"/>
  <c r="N33" i="26"/>
  <c r="BQ33" i="26" s="1"/>
  <c r="M33" i="26"/>
  <c r="BP33" i="26" s="1"/>
  <c r="L33" i="26"/>
  <c r="BO33" i="26" s="1"/>
  <c r="K33" i="26"/>
  <c r="BN33" i="26" s="1"/>
  <c r="J33" i="26"/>
  <c r="BM33" i="26" s="1"/>
  <c r="I33" i="26"/>
  <c r="BL33" i="26" s="1"/>
  <c r="H33" i="26"/>
  <c r="BK33" i="26" s="1"/>
  <c r="E33" i="26"/>
  <c r="BH33" i="26" s="1"/>
  <c r="D33" i="26"/>
  <c r="BG33" i="26" s="1"/>
  <c r="R32" i="26"/>
  <c r="S32" i="26" s="1"/>
  <c r="R31" i="26"/>
  <c r="S31" i="26" s="1"/>
  <c r="R30" i="26"/>
  <c r="S30" i="26" s="1"/>
  <c r="R29" i="26"/>
  <c r="S29" i="26" s="1"/>
  <c r="R28" i="26"/>
  <c r="S28" i="26" s="1"/>
  <c r="R27" i="26"/>
  <c r="S27" i="26" s="1"/>
  <c r="R26" i="26"/>
  <c r="S26" i="26" s="1"/>
  <c r="R25" i="26"/>
  <c r="S25" i="26" s="1"/>
  <c r="R24" i="26"/>
  <c r="S24" i="26" s="1"/>
  <c r="R23" i="26"/>
  <c r="S23" i="26" s="1"/>
  <c r="R22" i="26"/>
  <c r="S22" i="26" s="1"/>
  <c r="R21" i="26"/>
  <c r="S21" i="26" s="1"/>
  <c r="R5" i="26"/>
  <c r="S5" i="26" s="1"/>
  <c r="R6" i="26"/>
  <c r="S6" i="26" s="1"/>
  <c r="R7" i="26"/>
  <c r="S7" i="26" s="1"/>
  <c r="R8" i="26"/>
  <c r="S8" i="26" s="1"/>
  <c r="R9" i="26"/>
  <c r="S9" i="26" s="1"/>
  <c r="R10" i="26"/>
  <c r="S10" i="26" s="1"/>
  <c r="R11" i="26"/>
  <c r="S11" i="26" s="1"/>
  <c r="R12" i="26"/>
  <c r="S12" i="26" s="1"/>
  <c r="R13" i="26"/>
  <c r="S13" i="26" s="1"/>
  <c r="R14" i="26"/>
  <c r="S14" i="26" s="1"/>
  <c r="R15" i="26"/>
  <c r="S15" i="26" s="1"/>
  <c r="R4" i="26"/>
  <c r="S4" i="26" s="1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D11" i="63" l="1"/>
  <c r="D14" i="81" s="1"/>
  <c r="D5" i="65"/>
  <c r="J8" i="81" s="1"/>
  <c r="D7" i="67"/>
  <c r="M26" i="67" s="1"/>
  <c r="M45" i="67" s="1"/>
  <c r="P152" i="81" s="1"/>
  <c r="N22" i="67"/>
  <c r="Q6" i="81"/>
  <c r="AK9" i="32"/>
  <c r="AK6" i="34"/>
  <c r="AK10" i="34"/>
  <c r="AK14" i="34"/>
  <c r="M22" i="67"/>
  <c r="P6" i="81"/>
  <c r="AK24" i="36"/>
  <c r="D13" i="65"/>
  <c r="J16" i="81" s="1"/>
  <c r="D9" i="69"/>
  <c r="R33" i="34"/>
  <c r="S33" i="34" s="1"/>
  <c r="BF33" i="34"/>
  <c r="AK4" i="36"/>
  <c r="AU16" i="26"/>
  <c r="BC32" i="26"/>
  <c r="BC23" i="26"/>
  <c r="BC27" i="26"/>
  <c r="AU33" i="26"/>
  <c r="AY33" i="26"/>
  <c r="BC4" i="26"/>
  <c r="BC14" i="26"/>
  <c r="BC10" i="26"/>
  <c r="B9" i="74" s="1"/>
  <c r="K9" i="74" s="1"/>
  <c r="BC6" i="26"/>
  <c r="BC21" i="26"/>
  <c r="BC25" i="26"/>
  <c r="BC29" i="26"/>
  <c r="BC15" i="26"/>
  <c r="B14" i="74" s="1"/>
  <c r="T85" i="74" s="1"/>
  <c r="BC11" i="26"/>
  <c r="BC7" i="26"/>
  <c r="BC24" i="26"/>
  <c r="BC28" i="26"/>
  <c r="BC12" i="26"/>
  <c r="B11" i="74" s="1"/>
  <c r="BC8" i="26"/>
  <c r="BC31" i="26"/>
  <c r="BC13" i="26"/>
  <c r="B12" i="74" s="1"/>
  <c r="BC9" i="26"/>
  <c r="BC5" i="26"/>
  <c r="BC22" i="26"/>
  <c r="BC26" i="26"/>
  <c r="BC30" i="26"/>
  <c r="B7" i="74"/>
  <c r="AC26" i="74" s="1"/>
  <c r="G9" i="74"/>
  <c r="B46" i="81"/>
  <c r="K14" i="74"/>
  <c r="AL14" i="74"/>
  <c r="G14" i="74"/>
  <c r="H14" i="74"/>
  <c r="K7" i="74"/>
  <c r="G7" i="74"/>
  <c r="AL7" i="74"/>
  <c r="F7" i="74"/>
  <c r="P10" i="81"/>
  <c r="N26" i="67"/>
  <c r="N45" i="67" s="1"/>
  <c r="Q152" i="81" s="1"/>
  <c r="Q10" i="81"/>
  <c r="E7" i="69"/>
  <c r="E11" i="67"/>
  <c r="AK28" i="36"/>
  <c r="AC33" i="37"/>
  <c r="E3" i="63"/>
  <c r="AK32" i="36"/>
  <c r="AK6" i="37"/>
  <c r="AK10" i="37"/>
  <c r="AK14" i="37"/>
  <c r="D7" i="63"/>
  <c r="D11" i="67"/>
  <c r="M11" i="67" s="1"/>
  <c r="D13" i="69"/>
  <c r="AK5" i="32"/>
  <c r="AK23" i="32"/>
  <c r="AK31" i="32"/>
  <c r="AK11" i="33"/>
  <c r="AK23" i="33"/>
  <c r="AK31" i="33"/>
  <c r="AK7" i="35"/>
  <c r="AK11" i="35"/>
  <c r="AK15" i="35"/>
  <c r="AK21" i="35"/>
  <c r="AK25" i="35"/>
  <c r="AK29" i="35"/>
  <c r="AK7" i="38"/>
  <c r="AK11" i="38"/>
  <c r="AK15" i="38"/>
  <c r="AK23" i="38"/>
  <c r="AK27" i="38"/>
  <c r="AK31" i="38"/>
  <c r="AK32" i="34"/>
  <c r="AK6" i="36"/>
  <c r="AK10" i="36"/>
  <c r="AK14" i="36"/>
  <c r="AK24" i="37"/>
  <c r="AK28" i="37"/>
  <c r="AK32" i="37"/>
  <c r="E5" i="65"/>
  <c r="AK13" i="32"/>
  <c r="AK27" i="32"/>
  <c r="AK7" i="33"/>
  <c r="AK15" i="33"/>
  <c r="AK27" i="33"/>
  <c r="D5" i="69"/>
  <c r="V8" i="81" s="1"/>
  <c r="D9" i="65"/>
  <c r="AF15" i="69"/>
  <c r="AF15" i="67"/>
  <c r="AF15" i="65"/>
  <c r="AG11" i="69"/>
  <c r="AH11" i="69"/>
  <c r="AI11" i="69"/>
  <c r="AG10" i="69"/>
  <c r="AI10" i="69"/>
  <c r="AH10" i="69"/>
  <c r="AG12" i="69"/>
  <c r="AH12" i="69"/>
  <c r="AI12" i="69"/>
  <c r="AG9" i="69"/>
  <c r="AH9" i="69"/>
  <c r="AI9" i="69"/>
  <c r="AG5" i="69"/>
  <c r="AH5" i="69"/>
  <c r="AI5" i="69"/>
  <c r="AH14" i="69"/>
  <c r="AI14" i="69"/>
  <c r="AG14" i="69"/>
  <c r="AH4" i="69"/>
  <c r="AI4" i="69"/>
  <c r="AG4" i="69"/>
  <c r="AG7" i="69"/>
  <c r="AI7" i="69"/>
  <c r="AH7" i="69"/>
  <c r="AE15" i="69"/>
  <c r="AH3" i="69"/>
  <c r="AI3" i="69"/>
  <c r="AG3" i="69"/>
  <c r="AG8" i="69"/>
  <c r="AI8" i="69"/>
  <c r="AH8" i="69"/>
  <c r="AH13" i="69"/>
  <c r="AI13" i="69"/>
  <c r="AG13" i="69"/>
  <c r="AG6" i="69"/>
  <c r="AH6" i="69"/>
  <c r="AI6" i="69"/>
  <c r="AE15" i="67"/>
  <c r="AE15" i="65"/>
  <c r="AE15" i="63"/>
  <c r="AK6" i="38"/>
  <c r="AK10" i="38"/>
  <c r="AK14" i="38"/>
  <c r="Y33" i="38"/>
  <c r="AC33" i="38"/>
  <c r="AG33" i="38"/>
  <c r="AK22" i="38"/>
  <c r="AK26" i="38"/>
  <c r="AK30" i="38"/>
  <c r="R33" i="38"/>
  <c r="AK5" i="38"/>
  <c r="AK9" i="38"/>
  <c r="AK13" i="38"/>
  <c r="AK21" i="38"/>
  <c r="AK25" i="38"/>
  <c r="AK29" i="38"/>
  <c r="AK4" i="38"/>
  <c r="Z16" i="38"/>
  <c r="AD16" i="38"/>
  <c r="AH16" i="38"/>
  <c r="AK8" i="38"/>
  <c r="AK12" i="38"/>
  <c r="W33" i="38"/>
  <c r="AA33" i="38"/>
  <c r="AE33" i="38"/>
  <c r="AI33" i="38"/>
  <c r="AK24" i="38"/>
  <c r="AK28" i="38"/>
  <c r="AK32" i="38"/>
  <c r="AD3" i="67"/>
  <c r="AK5" i="37"/>
  <c r="AD7" i="67"/>
  <c r="AK9" i="37"/>
  <c r="AD11" i="67"/>
  <c r="AK13" i="37"/>
  <c r="AK21" i="37"/>
  <c r="AK25" i="37"/>
  <c r="AK29" i="37"/>
  <c r="AK4" i="37"/>
  <c r="AD6" i="67"/>
  <c r="AK8" i="37"/>
  <c r="AD10" i="67"/>
  <c r="AK12" i="37"/>
  <c r="AD14" i="67"/>
  <c r="AD5" i="67"/>
  <c r="AK7" i="37"/>
  <c r="AD9" i="67"/>
  <c r="AK11" i="37"/>
  <c r="AD13" i="67"/>
  <c r="AK15" i="37"/>
  <c r="AK23" i="37"/>
  <c r="AK27" i="37"/>
  <c r="AK31" i="37"/>
  <c r="AD4" i="67"/>
  <c r="AD8" i="67"/>
  <c r="AD12" i="67"/>
  <c r="AK22" i="37"/>
  <c r="AK26" i="37"/>
  <c r="AK30" i="37"/>
  <c r="AD5" i="65"/>
  <c r="AK7" i="36"/>
  <c r="AD9" i="65"/>
  <c r="AK11" i="36"/>
  <c r="AD13" i="65"/>
  <c r="AK15" i="36"/>
  <c r="AK23" i="36"/>
  <c r="AK27" i="36"/>
  <c r="AK31" i="36"/>
  <c r="AD4" i="65"/>
  <c r="AD8" i="65"/>
  <c r="AD12" i="65"/>
  <c r="R16" i="36"/>
  <c r="S16" i="36" s="1"/>
  <c r="AK22" i="36"/>
  <c r="AK26" i="36"/>
  <c r="AK30" i="36"/>
  <c r="AD3" i="65"/>
  <c r="AK5" i="36"/>
  <c r="AD7" i="65"/>
  <c r="AK9" i="36"/>
  <c r="AD11" i="65"/>
  <c r="AK13" i="36"/>
  <c r="AK21" i="36"/>
  <c r="AK25" i="36"/>
  <c r="AK29" i="36"/>
  <c r="AD6" i="65"/>
  <c r="AK8" i="36"/>
  <c r="AD10" i="65"/>
  <c r="AK12" i="36"/>
  <c r="AD14" i="65"/>
  <c r="AD5" i="63"/>
  <c r="AD9" i="63"/>
  <c r="AD12" i="63"/>
  <c r="AK14" i="35"/>
  <c r="AK28" i="35"/>
  <c r="AK32" i="35"/>
  <c r="AD3" i="63"/>
  <c r="AK5" i="35"/>
  <c r="AD7" i="63"/>
  <c r="AK9" i="35"/>
  <c r="AD11" i="63"/>
  <c r="AK13" i="35"/>
  <c r="AK23" i="35"/>
  <c r="AK27" i="35"/>
  <c r="AK31" i="35"/>
  <c r="AD13" i="63"/>
  <c r="AD4" i="63"/>
  <c r="AK6" i="35"/>
  <c r="AD8" i="63"/>
  <c r="AK10" i="35"/>
  <c r="AK24" i="35"/>
  <c r="AK4" i="35"/>
  <c r="C3" i="63" s="1"/>
  <c r="C6" i="81" s="1"/>
  <c r="AD16" i="35"/>
  <c r="AH16" i="35"/>
  <c r="AD6" i="63"/>
  <c r="AK8" i="35"/>
  <c r="C7" i="63" s="1"/>
  <c r="C10" i="81" s="1"/>
  <c r="AD10" i="63"/>
  <c r="AK12" i="35"/>
  <c r="C11" i="63" s="1"/>
  <c r="C14" i="81" s="1"/>
  <c r="AD14" i="63"/>
  <c r="AC33" i="35"/>
  <c r="AG33" i="35"/>
  <c r="AK22" i="35"/>
  <c r="AK26" i="35"/>
  <c r="AK30" i="35"/>
  <c r="AK5" i="34"/>
  <c r="AK9" i="34"/>
  <c r="AK13" i="34"/>
  <c r="R16" i="34"/>
  <c r="S16" i="34" s="1"/>
  <c r="AK21" i="34"/>
  <c r="AK25" i="34"/>
  <c r="AK29" i="34"/>
  <c r="AK4" i="34"/>
  <c r="AK8" i="34"/>
  <c r="AK12" i="34"/>
  <c r="AK24" i="34"/>
  <c r="AK28" i="34"/>
  <c r="AK7" i="34"/>
  <c r="AK11" i="34"/>
  <c r="AK15" i="34"/>
  <c r="AK23" i="34"/>
  <c r="AK27" i="34"/>
  <c r="AK31" i="34"/>
  <c r="AK30" i="34"/>
  <c r="AC13" i="67"/>
  <c r="AC4" i="67"/>
  <c r="AK10" i="33"/>
  <c r="AC3" i="67"/>
  <c r="AK5" i="33"/>
  <c r="AC7" i="67"/>
  <c r="AK9" i="33"/>
  <c r="AC11" i="67"/>
  <c r="AK13" i="33"/>
  <c r="AK21" i="33"/>
  <c r="AK25" i="33"/>
  <c r="AK29" i="33"/>
  <c r="AC5" i="67"/>
  <c r="AC9" i="67"/>
  <c r="AK6" i="33"/>
  <c r="AC8" i="67"/>
  <c r="AC12" i="67"/>
  <c r="AK14" i="33"/>
  <c r="AK22" i="33"/>
  <c r="AK26" i="33"/>
  <c r="AK30" i="33"/>
  <c r="AK4" i="33"/>
  <c r="Z16" i="33"/>
  <c r="AD16" i="33"/>
  <c r="AH16" i="33"/>
  <c r="AC6" i="67"/>
  <c r="AK8" i="33"/>
  <c r="AC10" i="67"/>
  <c r="AK12" i="33"/>
  <c r="AC14" i="67"/>
  <c r="AE33" i="33"/>
  <c r="AI33" i="33"/>
  <c r="AK24" i="33"/>
  <c r="AK28" i="33"/>
  <c r="AK32" i="33"/>
  <c r="AC7" i="65"/>
  <c r="AC6" i="65"/>
  <c r="AK12" i="32"/>
  <c r="AK30" i="32"/>
  <c r="AC5" i="65"/>
  <c r="AK7" i="32"/>
  <c r="AC9" i="65"/>
  <c r="AK11" i="32"/>
  <c r="AC13" i="65"/>
  <c r="AK15" i="32"/>
  <c r="AK21" i="32"/>
  <c r="AK25" i="32"/>
  <c r="AK29" i="32"/>
  <c r="AC3" i="65"/>
  <c r="AC11" i="65"/>
  <c r="AK4" i="32"/>
  <c r="AK8" i="32"/>
  <c r="AC10" i="65"/>
  <c r="AC14" i="65"/>
  <c r="AK22" i="32"/>
  <c r="B4" i="65" s="1"/>
  <c r="H7" i="81" s="1"/>
  <c r="AK26" i="32"/>
  <c r="X16" i="32"/>
  <c r="AB16" i="32"/>
  <c r="AF16" i="32"/>
  <c r="AJ16" i="32"/>
  <c r="AC4" i="65"/>
  <c r="AK6" i="32"/>
  <c r="AC8" i="65"/>
  <c r="AK10" i="32"/>
  <c r="B9" i="65" s="1"/>
  <c r="H12" i="81" s="1"/>
  <c r="AC12" i="65"/>
  <c r="AK14" i="32"/>
  <c r="AE33" i="32"/>
  <c r="AK24" i="32"/>
  <c r="AK28" i="32"/>
  <c r="AK32" i="32"/>
  <c r="AC14" i="63"/>
  <c r="AC10" i="63"/>
  <c r="AC6" i="63"/>
  <c r="AK14" i="26"/>
  <c r="AK10" i="26"/>
  <c r="AK6" i="26"/>
  <c r="AK21" i="26"/>
  <c r="AK31" i="26"/>
  <c r="AK27" i="26"/>
  <c r="AK23" i="26"/>
  <c r="AC13" i="63"/>
  <c r="AC9" i="63"/>
  <c r="AH9" i="63" s="1"/>
  <c r="AC5" i="63"/>
  <c r="AK15" i="26"/>
  <c r="AK11" i="26"/>
  <c r="AK7" i="26"/>
  <c r="AK32" i="26"/>
  <c r="AK28" i="26"/>
  <c r="AK24" i="26"/>
  <c r="AC12" i="63"/>
  <c r="AI12" i="63" s="1"/>
  <c r="AC8" i="63"/>
  <c r="AC4" i="63"/>
  <c r="AK12" i="26"/>
  <c r="AK8" i="26"/>
  <c r="AK29" i="26"/>
  <c r="AK25" i="26"/>
  <c r="AC3" i="63"/>
  <c r="AC11" i="63"/>
  <c r="AG11" i="63" s="1"/>
  <c r="AC7" i="63"/>
  <c r="AK13" i="26"/>
  <c r="AK9" i="26"/>
  <c r="AK5" i="26"/>
  <c r="AK30" i="26"/>
  <c r="AK26" i="26"/>
  <c r="AK22" i="26"/>
  <c r="E11" i="63"/>
  <c r="AH10" i="63"/>
  <c r="AI10" i="63"/>
  <c r="AH12" i="63"/>
  <c r="AI9" i="63"/>
  <c r="AI7" i="63"/>
  <c r="AG7" i="63"/>
  <c r="AH7" i="63"/>
  <c r="AG5" i="63"/>
  <c r="AH5" i="63"/>
  <c r="AI5" i="63"/>
  <c r="AF15" i="63"/>
  <c r="AH3" i="63"/>
  <c r="AI3" i="63"/>
  <c r="AG3" i="63"/>
  <c r="AG8" i="63"/>
  <c r="AE16" i="36"/>
  <c r="AI16" i="36"/>
  <c r="AB33" i="36"/>
  <c r="AC16" i="37"/>
  <c r="AG16" i="37"/>
  <c r="AD33" i="37"/>
  <c r="AH33" i="37"/>
  <c r="W16" i="38"/>
  <c r="AA16" i="38"/>
  <c r="AE16" i="38"/>
  <c r="AI16" i="38"/>
  <c r="X33" i="38"/>
  <c r="AB33" i="38"/>
  <c r="AF33" i="38"/>
  <c r="AJ33" i="38"/>
  <c r="X16" i="33"/>
  <c r="AB16" i="33"/>
  <c r="AF16" i="33"/>
  <c r="AC33" i="33"/>
  <c r="AG33" i="33"/>
  <c r="Z16" i="34"/>
  <c r="AD16" i="34"/>
  <c r="AH16" i="34"/>
  <c r="AA33" i="34"/>
  <c r="AE33" i="34"/>
  <c r="AI33" i="34"/>
  <c r="AB16" i="35"/>
  <c r="AF16" i="35"/>
  <c r="AJ16" i="35"/>
  <c r="AE33" i="35"/>
  <c r="AI33" i="35"/>
  <c r="X16" i="36"/>
  <c r="AB16" i="36"/>
  <c r="AF16" i="36"/>
  <c r="AJ16" i="36"/>
  <c r="AC33" i="36"/>
  <c r="AG33" i="36"/>
  <c r="AD16" i="37"/>
  <c r="AH16" i="37"/>
  <c r="AE33" i="37"/>
  <c r="X16" i="38"/>
  <c r="AB16" i="38"/>
  <c r="AF16" i="38"/>
  <c r="AJ16" i="38"/>
  <c r="Y16" i="38"/>
  <c r="AC16" i="38"/>
  <c r="AG16" i="38"/>
  <c r="Z33" i="38"/>
  <c r="AD33" i="38"/>
  <c r="AH33" i="38"/>
  <c r="M7" i="63"/>
  <c r="V3" i="63"/>
  <c r="D95" i="81" s="1"/>
  <c r="M22" i="63"/>
  <c r="M3" i="63"/>
  <c r="AO33" i="26"/>
  <c r="AS33" i="26"/>
  <c r="AW33" i="26"/>
  <c r="BA33" i="26"/>
  <c r="AD16" i="32"/>
  <c r="AH16" i="32"/>
  <c r="AC33" i="32"/>
  <c r="AG33" i="32"/>
  <c r="V16" i="34"/>
  <c r="N26" i="69"/>
  <c r="N45" i="69" s="1"/>
  <c r="W152" i="81" s="1"/>
  <c r="N7" i="69"/>
  <c r="D10" i="69"/>
  <c r="E12" i="67"/>
  <c r="E10" i="65"/>
  <c r="K13" i="81" s="1"/>
  <c r="E8" i="63"/>
  <c r="E11" i="81" s="1"/>
  <c r="D8" i="67"/>
  <c r="D8" i="63"/>
  <c r="D11" i="81" s="1"/>
  <c r="D7" i="69"/>
  <c r="V10" i="81" s="1"/>
  <c r="E9" i="63"/>
  <c r="E12" i="81" s="1"/>
  <c r="D13" i="67"/>
  <c r="P16" i="81" s="1"/>
  <c r="D11" i="65"/>
  <c r="J14" i="81" s="1"/>
  <c r="E6" i="69"/>
  <c r="D12" i="69"/>
  <c r="E4" i="65"/>
  <c r="K7" i="81" s="1"/>
  <c r="E10" i="63"/>
  <c r="E13" i="81" s="1"/>
  <c r="D14" i="67"/>
  <c r="D8" i="65"/>
  <c r="J11" i="81" s="1"/>
  <c r="AP16" i="26"/>
  <c r="AT16" i="26"/>
  <c r="AX16" i="26"/>
  <c r="AQ16" i="26"/>
  <c r="AP33" i="26"/>
  <c r="AT33" i="26"/>
  <c r="AX33" i="26"/>
  <c r="BB33" i="26"/>
  <c r="AE16" i="32"/>
  <c r="AI16" i="32"/>
  <c r="AD33" i="32"/>
  <c r="AH33" i="32"/>
  <c r="AC16" i="33"/>
  <c r="AG16" i="33"/>
  <c r="B12" i="67"/>
  <c r="V33" i="33"/>
  <c r="AD33" i="33"/>
  <c r="AH33" i="33"/>
  <c r="AA16" i="34"/>
  <c r="AE16" i="34"/>
  <c r="AI16" i="34"/>
  <c r="X33" i="34"/>
  <c r="AB33" i="34"/>
  <c r="AF33" i="34"/>
  <c r="AJ33" i="34"/>
  <c r="AC16" i="35"/>
  <c r="AG16" i="35"/>
  <c r="AB33" i="35"/>
  <c r="AF33" i="35"/>
  <c r="AJ33" i="35"/>
  <c r="AD33" i="36"/>
  <c r="AH33" i="36"/>
  <c r="AE16" i="37"/>
  <c r="AI16" i="37"/>
  <c r="AB33" i="37"/>
  <c r="AF33" i="37"/>
  <c r="V33" i="38"/>
  <c r="E3" i="69"/>
  <c r="M9" i="69"/>
  <c r="M28" i="69"/>
  <c r="N7" i="67"/>
  <c r="W7" i="67"/>
  <c r="Q99" i="81" s="1"/>
  <c r="W9" i="65"/>
  <c r="K101" i="81" s="1"/>
  <c r="N28" i="65"/>
  <c r="N47" i="65" s="1"/>
  <c r="K154" i="81" s="1"/>
  <c r="N9" i="65"/>
  <c r="N11" i="63"/>
  <c r="N30" i="63"/>
  <c r="N49" i="63" s="1"/>
  <c r="E156" i="81" s="1"/>
  <c r="W3" i="63"/>
  <c r="E95" i="81" s="1"/>
  <c r="N3" i="63"/>
  <c r="M7" i="67"/>
  <c r="V7" i="67"/>
  <c r="P99" i="81" s="1"/>
  <c r="M13" i="65"/>
  <c r="M32" i="65"/>
  <c r="M51" i="65" s="1"/>
  <c r="J158" i="81" s="1"/>
  <c r="V13" i="65"/>
  <c r="J105" i="81" s="1"/>
  <c r="M5" i="65"/>
  <c r="V5" i="65"/>
  <c r="J97" i="81" s="1"/>
  <c r="M24" i="65"/>
  <c r="M43" i="65" s="1"/>
  <c r="J150" i="81" s="1"/>
  <c r="E12" i="69"/>
  <c r="W15" i="81" s="1"/>
  <c r="E8" i="67"/>
  <c r="E6" i="65"/>
  <c r="K9" i="81" s="1"/>
  <c r="E4" i="63"/>
  <c r="E7" i="81" s="1"/>
  <c r="D4" i="67"/>
  <c r="P7" i="81" s="1"/>
  <c r="D4" i="63"/>
  <c r="D7" i="81" s="1"/>
  <c r="D3" i="69"/>
  <c r="E9" i="67"/>
  <c r="E11" i="65"/>
  <c r="K14" i="81" s="1"/>
  <c r="D9" i="67"/>
  <c r="D7" i="65"/>
  <c r="J10" i="81" s="1"/>
  <c r="D8" i="69"/>
  <c r="D10" i="67"/>
  <c r="D4" i="65"/>
  <c r="J7" i="81" s="1"/>
  <c r="D14" i="63"/>
  <c r="D17" i="81" s="1"/>
  <c r="D6" i="63"/>
  <c r="D9" i="81" s="1"/>
  <c r="B12" i="63"/>
  <c r="B15" i="81" s="1"/>
  <c r="AC16" i="36"/>
  <c r="AG16" i="36"/>
  <c r="V16" i="38"/>
  <c r="W11" i="69"/>
  <c r="W103" i="81" s="1"/>
  <c r="N30" i="69"/>
  <c r="N49" i="69" s="1"/>
  <c r="W156" i="81" s="1"/>
  <c r="N11" i="69"/>
  <c r="E8" i="69"/>
  <c r="E4" i="67"/>
  <c r="D14" i="65"/>
  <c r="J17" i="81" s="1"/>
  <c r="D6" i="65"/>
  <c r="J9" i="81" s="1"/>
  <c r="E9" i="69"/>
  <c r="E7" i="65"/>
  <c r="K10" i="81" s="1"/>
  <c r="D5" i="67"/>
  <c r="P8" i="81" s="1"/>
  <c r="D3" i="65"/>
  <c r="J6" i="81" s="1"/>
  <c r="D13" i="63"/>
  <c r="D16" i="81" s="1"/>
  <c r="D5" i="63"/>
  <c r="D8" i="81" s="1"/>
  <c r="D4" i="69"/>
  <c r="V7" i="81" s="1"/>
  <c r="E10" i="67"/>
  <c r="E12" i="65"/>
  <c r="K15" i="81" s="1"/>
  <c r="D6" i="67"/>
  <c r="D10" i="63"/>
  <c r="D13" i="81" s="1"/>
  <c r="AN33" i="26"/>
  <c r="AR33" i="26"/>
  <c r="AV33" i="26"/>
  <c r="AZ33" i="26"/>
  <c r="AC16" i="32"/>
  <c r="AG16" i="32"/>
  <c r="AB33" i="32"/>
  <c r="AF33" i="32"/>
  <c r="AJ33" i="32"/>
  <c r="B5" i="65"/>
  <c r="H8" i="81" s="1"/>
  <c r="AE16" i="33"/>
  <c r="AI16" i="33"/>
  <c r="AB33" i="33"/>
  <c r="AF33" i="33"/>
  <c r="Y16" i="34"/>
  <c r="AC16" i="34"/>
  <c r="AG16" i="34"/>
  <c r="V33" i="34"/>
  <c r="Z33" i="34"/>
  <c r="AD33" i="34"/>
  <c r="AH33" i="34"/>
  <c r="AA16" i="35"/>
  <c r="AE16" i="35"/>
  <c r="AI16" i="35"/>
  <c r="AD33" i="35"/>
  <c r="AH33" i="35"/>
  <c r="AF33" i="36"/>
  <c r="AJ33" i="36"/>
  <c r="C5" i="65"/>
  <c r="I8" i="81" s="1"/>
  <c r="AE33" i="36"/>
  <c r="C13" i="65"/>
  <c r="I16" i="81" s="1"/>
  <c r="C7" i="67"/>
  <c r="G13" i="69"/>
  <c r="M32" i="69"/>
  <c r="M13" i="69"/>
  <c r="H13" i="69"/>
  <c r="F13" i="69"/>
  <c r="M24" i="69"/>
  <c r="W11" i="67"/>
  <c r="Q103" i="81" s="1"/>
  <c r="N11" i="67"/>
  <c r="N3" i="67"/>
  <c r="W3" i="67"/>
  <c r="Q95" i="81" s="1"/>
  <c r="N5" i="65"/>
  <c r="N24" i="65"/>
  <c r="N43" i="65" s="1"/>
  <c r="K150" i="81" s="1"/>
  <c r="N26" i="63"/>
  <c r="N45" i="63" s="1"/>
  <c r="E152" i="81" s="1"/>
  <c r="W7" i="63"/>
  <c r="E99" i="81" s="1"/>
  <c r="N7" i="63"/>
  <c r="M28" i="65"/>
  <c r="M47" i="65" s="1"/>
  <c r="J154" i="81" s="1"/>
  <c r="V9" i="65"/>
  <c r="J101" i="81" s="1"/>
  <c r="V11" i="63"/>
  <c r="D103" i="81" s="1"/>
  <c r="M11" i="63"/>
  <c r="M30" i="63"/>
  <c r="M49" i="63" s="1"/>
  <c r="D156" i="81" s="1"/>
  <c r="E4" i="69"/>
  <c r="D14" i="69"/>
  <c r="D6" i="69"/>
  <c r="V9" i="81" s="1"/>
  <c r="E12" i="63"/>
  <c r="E15" i="81" s="1"/>
  <c r="D12" i="67"/>
  <c r="D10" i="65"/>
  <c r="J13" i="81" s="1"/>
  <c r="D12" i="63"/>
  <c r="D15" i="81" s="1"/>
  <c r="E5" i="69"/>
  <c r="D11" i="69"/>
  <c r="E5" i="67"/>
  <c r="Q8" i="81" s="1"/>
  <c r="E3" i="65"/>
  <c r="K6" i="81" s="1"/>
  <c r="E5" i="63"/>
  <c r="E8" i="81" s="1"/>
  <c r="D9" i="63"/>
  <c r="D12" i="81" s="1"/>
  <c r="E10" i="69"/>
  <c r="W13" i="81" s="1"/>
  <c r="E6" i="67"/>
  <c r="E8" i="65"/>
  <c r="K11" i="81" s="1"/>
  <c r="E6" i="63"/>
  <c r="E9" i="81" s="1"/>
  <c r="D12" i="65"/>
  <c r="J15" i="81" s="1"/>
  <c r="W16" i="26"/>
  <c r="AA16" i="26"/>
  <c r="AE16" i="26"/>
  <c r="AI16" i="26"/>
  <c r="AO16" i="26"/>
  <c r="AS16" i="26"/>
  <c r="AW16" i="26"/>
  <c r="BA16" i="26"/>
  <c r="AY16" i="26"/>
  <c r="BB16" i="26"/>
  <c r="AJ33" i="33"/>
  <c r="AJ16" i="33"/>
  <c r="AJ33" i="37"/>
  <c r="AJ16" i="37"/>
  <c r="R16" i="38"/>
  <c r="AI33" i="37"/>
  <c r="Y33" i="37"/>
  <c r="R33" i="37"/>
  <c r="S33" i="37" s="1"/>
  <c r="V33" i="37"/>
  <c r="Z33" i="37"/>
  <c r="W33" i="37"/>
  <c r="AA33" i="37"/>
  <c r="AI33" i="36"/>
  <c r="V16" i="36"/>
  <c r="Z16" i="36"/>
  <c r="W16" i="36"/>
  <c r="AA16" i="36"/>
  <c r="AA33" i="35"/>
  <c r="X33" i="37"/>
  <c r="W16" i="37"/>
  <c r="X16" i="37"/>
  <c r="Y16" i="37"/>
  <c r="R16" i="37"/>
  <c r="S16" i="37" s="1"/>
  <c r="V16" i="37"/>
  <c r="Z16" i="37"/>
  <c r="AA16" i="37"/>
  <c r="Y33" i="36"/>
  <c r="R33" i="36"/>
  <c r="S33" i="36" s="1"/>
  <c r="X33" i="36"/>
  <c r="V33" i="36"/>
  <c r="Z33" i="36"/>
  <c r="W33" i="36"/>
  <c r="AA33" i="36"/>
  <c r="Y16" i="36"/>
  <c r="V33" i="35"/>
  <c r="Z33" i="35"/>
  <c r="W33" i="35"/>
  <c r="X33" i="35"/>
  <c r="Y33" i="35"/>
  <c r="R33" i="35"/>
  <c r="S33" i="35" s="1"/>
  <c r="Z16" i="35"/>
  <c r="Y16" i="35"/>
  <c r="X16" i="35"/>
  <c r="R16" i="35"/>
  <c r="S16" i="35" s="1"/>
  <c r="W16" i="35"/>
  <c r="V16" i="35"/>
  <c r="W33" i="34"/>
  <c r="W16" i="34"/>
  <c r="AA33" i="33"/>
  <c r="Z33" i="33"/>
  <c r="Y33" i="33"/>
  <c r="R33" i="33"/>
  <c r="S33" i="33" s="1"/>
  <c r="X33" i="33"/>
  <c r="W33" i="33"/>
  <c r="AA16" i="33"/>
  <c r="Y16" i="33"/>
  <c r="W16" i="33"/>
  <c r="R16" i="33"/>
  <c r="S16" i="33" s="1"/>
  <c r="V16" i="33"/>
  <c r="AA33" i="32"/>
  <c r="Z33" i="32"/>
  <c r="Y33" i="32"/>
  <c r="X33" i="32"/>
  <c r="W33" i="32"/>
  <c r="R33" i="32"/>
  <c r="S33" i="32" s="1"/>
  <c r="V33" i="32"/>
  <c r="AA16" i="32"/>
  <c r="Z16" i="32"/>
  <c r="Y16" i="32"/>
  <c r="W16" i="32"/>
  <c r="V16" i="32"/>
  <c r="AI33" i="32"/>
  <c r="R16" i="32"/>
  <c r="S16" i="32" s="1"/>
  <c r="AQ33" i="26"/>
  <c r="X16" i="26"/>
  <c r="AB16" i="26"/>
  <c r="AF16" i="26"/>
  <c r="AJ16" i="26"/>
  <c r="R16" i="26"/>
  <c r="S16" i="26" s="1"/>
  <c r="AN16" i="26"/>
  <c r="Y16" i="26"/>
  <c r="AC16" i="26"/>
  <c r="AG16" i="26"/>
  <c r="Z16" i="26"/>
  <c r="AD16" i="26"/>
  <c r="AH16" i="26"/>
  <c r="AR16" i="26"/>
  <c r="AV16" i="26"/>
  <c r="AZ16" i="26"/>
  <c r="X33" i="26"/>
  <c r="AC33" i="26"/>
  <c r="AG33" i="26"/>
  <c r="AD33" i="26"/>
  <c r="AH33" i="26"/>
  <c r="V33" i="26"/>
  <c r="AA33" i="26"/>
  <c r="AE33" i="26"/>
  <c r="AI33" i="26"/>
  <c r="Z33" i="26"/>
  <c r="W33" i="26"/>
  <c r="AB33" i="26"/>
  <c r="AF33" i="26"/>
  <c r="AJ33" i="26"/>
  <c r="Y33" i="26"/>
  <c r="V16" i="26"/>
  <c r="R33" i="26"/>
  <c r="S33" i="26" s="1"/>
  <c r="B48" i="81" l="1"/>
  <c r="AL11" i="74"/>
  <c r="F11" i="74"/>
  <c r="B5" i="74"/>
  <c r="AC33" i="74"/>
  <c r="T14" i="74"/>
  <c r="B51" i="81"/>
  <c r="V11" i="67"/>
  <c r="P103" i="81" s="1"/>
  <c r="F14" i="74"/>
  <c r="B13" i="65"/>
  <c r="H16" i="81" s="1"/>
  <c r="N24" i="69"/>
  <c r="N43" i="69" s="1"/>
  <c r="W150" i="81" s="1"/>
  <c r="W8" i="81"/>
  <c r="N29" i="67"/>
  <c r="N48" i="67" s="1"/>
  <c r="Q155" i="81" s="1"/>
  <c r="Q13" i="81"/>
  <c r="V6" i="81"/>
  <c r="V3" i="69"/>
  <c r="V95" i="81" s="1"/>
  <c r="W6" i="81"/>
  <c r="W3" i="69"/>
  <c r="W95" i="81" s="1"/>
  <c r="N31" i="67"/>
  <c r="Q15" i="81"/>
  <c r="AG12" i="63"/>
  <c r="AI6" i="63"/>
  <c r="AG4" i="63"/>
  <c r="C5" i="63"/>
  <c r="C8" i="81" s="1"/>
  <c r="W5" i="65"/>
  <c r="K97" i="81" s="1"/>
  <c r="K8" i="81"/>
  <c r="N30" i="67"/>
  <c r="N49" i="67" s="1"/>
  <c r="Q156" i="81" s="1"/>
  <c r="Q14" i="81"/>
  <c r="M28" i="67"/>
  <c r="M47" i="67" s="1"/>
  <c r="P154" i="81" s="1"/>
  <c r="P12" i="81"/>
  <c r="V13" i="81"/>
  <c r="V10" i="69"/>
  <c r="V102" i="81" s="1"/>
  <c r="M9" i="65"/>
  <c r="J12" i="81"/>
  <c r="N22" i="63"/>
  <c r="E6" i="81"/>
  <c r="V12" i="81"/>
  <c r="V9" i="69"/>
  <c r="V101" i="81" s="1"/>
  <c r="V17" i="81"/>
  <c r="V14" i="69"/>
  <c r="V106" i="81" s="1"/>
  <c r="N23" i="67"/>
  <c r="Q7" i="81"/>
  <c r="M29" i="67"/>
  <c r="P13" i="81"/>
  <c r="V15" i="81"/>
  <c r="V12" i="69"/>
  <c r="V104" i="81" s="1"/>
  <c r="W11" i="63"/>
  <c r="E103" i="81" s="1"/>
  <c r="E14" i="81"/>
  <c r="AG10" i="63"/>
  <c r="AH8" i="63"/>
  <c r="AH11" i="63"/>
  <c r="V16" i="81"/>
  <c r="V13" i="69"/>
  <c r="V105" i="81" s="1"/>
  <c r="V14" i="81"/>
  <c r="V11" i="69"/>
  <c r="V103" i="81" s="1"/>
  <c r="M31" i="67"/>
  <c r="M50" i="67" s="1"/>
  <c r="P157" i="81" s="1"/>
  <c r="P15" i="81"/>
  <c r="N23" i="69"/>
  <c r="N42" i="69" s="1"/>
  <c r="W149" i="81" s="1"/>
  <c r="W7" i="81"/>
  <c r="F9" i="69"/>
  <c r="W12" i="81"/>
  <c r="W9" i="69"/>
  <c r="W101" i="81" s="1"/>
  <c r="N28" i="67"/>
  <c r="Q12" i="81"/>
  <c r="K31" i="67"/>
  <c r="N15" i="81"/>
  <c r="M33" i="67"/>
  <c r="P17" i="81"/>
  <c r="AG9" i="63"/>
  <c r="M30" i="67"/>
  <c r="M49" i="67" s="1"/>
  <c r="P156" i="81" s="1"/>
  <c r="P14" i="81"/>
  <c r="T82" i="74"/>
  <c r="X82" i="74" s="1"/>
  <c r="H7" i="74"/>
  <c r="T78" i="74"/>
  <c r="Y78" i="74" s="1"/>
  <c r="B44" i="81"/>
  <c r="H11" i="74"/>
  <c r="K11" i="74"/>
  <c r="O11" i="74" s="1"/>
  <c r="T9" i="74"/>
  <c r="Z9" i="74" s="1"/>
  <c r="AC28" i="74"/>
  <c r="AH28" i="74" s="1"/>
  <c r="B8" i="74"/>
  <c r="B10" i="74"/>
  <c r="G11" i="74"/>
  <c r="F9" i="74"/>
  <c r="T80" i="74"/>
  <c r="AD80" i="74" s="1"/>
  <c r="B186" i="81" s="1"/>
  <c r="AG186" i="81" s="1"/>
  <c r="T7" i="74"/>
  <c r="X7" i="74" s="1"/>
  <c r="AC30" i="74"/>
  <c r="AI30" i="74" s="1"/>
  <c r="T11" i="74"/>
  <c r="Y11" i="74" s="1"/>
  <c r="AL9" i="74"/>
  <c r="AQ9" i="74" s="1"/>
  <c r="H9" i="74"/>
  <c r="B4" i="74"/>
  <c r="B6" i="74"/>
  <c r="B13" i="74"/>
  <c r="B3" i="74"/>
  <c r="AD78" i="74"/>
  <c r="B184" i="81" s="1"/>
  <c r="AG184" i="81" s="1"/>
  <c r="X78" i="74"/>
  <c r="P11" i="74"/>
  <c r="B138" i="81"/>
  <c r="AR14" i="74"/>
  <c r="AP14" i="74"/>
  <c r="AQ14" i="74"/>
  <c r="B49" i="81"/>
  <c r="K12" i="74"/>
  <c r="AL12" i="74"/>
  <c r="T12" i="74"/>
  <c r="T83" i="74"/>
  <c r="H12" i="74"/>
  <c r="F12" i="74"/>
  <c r="AC31" i="74"/>
  <c r="G12" i="74"/>
  <c r="Z7" i="74"/>
  <c r="AI26" i="74"/>
  <c r="AH26" i="74"/>
  <c r="AG26" i="74"/>
  <c r="AC45" i="74"/>
  <c r="AC49" i="74"/>
  <c r="AG30" i="74"/>
  <c r="Q14" i="74"/>
  <c r="O14" i="74"/>
  <c r="P14" i="74"/>
  <c r="X80" i="74"/>
  <c r="B135" i="81"/>
  <c r="AR11" i="74"/>
  <c r="AQ11" i="74"/>
  <c r="AP11" i="74"/>
  <c r="AC52" i="74"/>
  <c r="AG33" i="74"/>
  <c r="AH33" i="74"/>
  <c r="AI33" i="74"/>
  <c r="B122" i="81"/>
  <c r="Y14" i="74"/>
  <c r="Z14" i="74"/>
  <c r="X14" i="74"/>
  <c r="B117" i="81"/>
  <c r="X9" i="74"/>
  <c r="B131" i="81"/>
  <c r="AR7" i="74"/>
  <c r="AQ7" i="74"/>
  <c r="AP7" i="74"/>
  <c r="Q7" i="74"/>
  <c r="P7" i="74"/>
  <c r="O7" i="74"/>
  <c r="Z82" i="74"/>
  <c r="AD85" i="74"/>
  <c r="B191" i="81" s="1"/>
  <c r="AG191" i="81" s="1"/>
  <c r="Y85" i="74"/>
  <c r="X85" i="74"/>
  <c r="Z85" i="74"/>
  <c r="AP9" i="74"/>
  <c r="O9" i="74"/>
  <c r="P9" i="74"/>
  <c r="Q9" i="74"/>
  <c r="L26" i="67"/>
  <c r="O10" i="81"/>
  <c r="M26" i="63"/>
  <c r="M45" i="63" s="1"/>
  <c r="D152" i="81" s="1"/>
  <c r="D10" i="81"/>
  <c r="W10" i="81"/>
  <c r="W7" i="69"/>
  <c r="W99" i="81" s="1"/>
  <c r="N25" i="67"/>
  <c r="Q9" i="81"/>
  <c r="N25" i="69"/>
  <c r="W9" i="81"/>
  <c r="W6" i="69"/>
  <c r="W98" i="81" s="1"/>
  <c r="M25" i="67"/>
  <c r="P9" i="81"/>
  <c r="V11" i="81"/>
  <c r="V8" i="69"/>
  <c r="V100" i="81" s="1"/>
  <c r="N27" i="67"/>
  <c r="Q11" i="81"/>
  <c r="M27" i="67"/>
  <c r="P11" i="81"/>
  <c r="W11" i="81"/>
  <c r="W8" i="69"/>
  <c r="W100" i="81" s="1"/>
  <c r="V7" i="63"/>
  <c r="D99" i="81" s="1"/>
  <c r="B10" i="67"/>
  <c r="T10" i="67" s="1"/>
  <c r="N102" i="81" s="1"/>
  <c r="B3" i="67"/>
  <c r="N6" i="81" s="1"/>
  <c r="B4" i="63"/>
  <c r="B7" i="81" s="1"/>
  <c r="B8" i="65"/>
  <c r="B12" i="65"/>
  <c r="B14" i="65"/>
  <c r="K14" i="65" s="1"/>
  <c r="C11" i="67"/>
  <c r="B11" i="63"/>
  <c r="B14" i="81" s="1"/>
  <c r="C9" i="63"/>
  <c r="L28" i="63" s="1"/>
  <c r="L47" i="63" s="1"/>
  <c r="C154" i="81" s="1"/>
  <c r="B13" i="63"/>
  <c r="B11" i="67"/>
  <c r="C9" i="65"/>
  <c r="C3" i="67"/>
  <c r="L3" i="67" s="1"/>
  <c r="B5" i="63"/>
  <c r="B8" i="63"/>
  <c r="B11" i="81" s="1"/>
  <c r="B14" i="63"/>
  <c r="B17" i="81" s="1"/>
  <c r="B6" i="65"/>
  <c r="K6" i="65" s="1"/>
  <c r="B7" i="67"/>
  <c r="K7" i="67" s="1"/>
  <c r="C13" i="63"/>
  <c r="C16" i="81" s="1"/>
  <c r="B4" i="67"/>
  <c r="E17" i="67"/>
  <c r="N24" i="67"/>
  <c r="N43" i="67" s="1"/>
  <c r="Q150" i="81" s="1"/>
  <c r="M24" i="67"/>
  <c r="M43" i="67" s="1"/>
  <c r="P150" i="81" s="1"/>
  <c r="M23" i="67"/>
  <c r="M42" i="67" s="1"/>
  <c r="P149" i="81" s="1"/>
  <c r="M32" i="67"/>
  <c r="M51" i="67" s="1"/>
  <c r="P158" i="81" s="1"/>
  <c r="AD15" i="67"/>
  <c r="AD15" i="65"/>
  <c r="AI4" i="63"/>
  <c r="AI11" i="63"/>
  <c r="AI8" i="63"/>
  <c r="AH4" i="63"/>
  <c r="AH6" i="63"/>
  <c r="AD15" i="63"/>
  <c r="AG6" i="63"/>
  <c r="AG8" i="67"/>
  <c r="AI8" i="67"/>
  <c r="AH8" i="67"/>
  <c r="AH4" i="67"/>
  <c r="AI4" i="67"/>
  <c r="AG4" i="67"/>
  <c r="AH10" i="67"/>
  <c r="AI10" i="67"/>
  <c r="AG10" i="67"/>
  <c r="AG5" i="67"/>
  <c r="AH5" i="67"/>
  <c r="AI5" i="67"/>
  <c r="AC15" i="67"/>
  <c r="AH3" i="67"/>
  <c r="AI3" i="67"/>
  <c r="AG3" i="67"/>
  <c r="AH9" i="67"/>
  <c r="AI9" i="67"/>
  <c r="AG9" i="67"/>
  <c r="AI11" i="67"/>
  <c r="AH11" i="67"/>
  <c r="AG11" i="67"/>
  <c r="AH6" i="67"/>
  <c r="AG6" i="67"/>
  <c r="AI6" i="67"/>
  <c r="AH14" i="67"/>
  <c r="AG14" i="67"/>
  <c r="AI14" i="67"/>
  <c r="AH12" i="67"/>
  <c r="AG12" i="67"/>
  <c r="AI12" i="67"/>
  <c r="AI7" i="67"/>
  <c r="AH7" i="67"/>
  <c r="AG7" i="67"/>
  <c r="AI13" i="67"/>
  <c r="AG13" i="67"/>
  <c r="AH13" i="67"/>
  <c r="AG12" i="65"/>
  <c r="AH12" i="65"/>
  <c r="AI12" i="65"/>
  <c r="B10" i="65"/>
  <c r="AH6" i="65"/>
  <c r="AI6" i="65"/>
  <c r="AG6" i="65"/>
  <c r="AG4" i="65"/>
  <c r="AH4" i="65"/>
  <c r="AI4" i="65"/>
  <c r="AH9" i="65"/>
  <c r="AI9" i="65"/>
  <c r="AG9" i="65"/>
  <c r="AH14" i="65"/>
  <c r="AI14" i="65"/>
  <c r="AG14" i="65"/>
  <c r="AI3" i="65"/>
  <c r="AG3" i="65"/>
  <c r="AC15" i="65"/>
  <c r="AH3" i="65"/>
  <c r="AG5" i="65"/>
  <c r="AH5" i="65"/>
  <c r="AI5" i="65"/>
  <c r="AG8" i="65"/>
  <c r="AH8" i="65"/>
  <c r="AI8" i="65"/>
  <c r="AI10" i="65"/>
  <c r="AH10" i="65"/>
  <c r="AG10" i="65"/>
  <c r="AI11" i="65"/>
  <c r="AG11" i="65"/>
  <c r="AH11" i="65"/>
  <c r="AG13" i="65"/>
  <c r="AH13" i="65"/>
  <c r="AI13" i="65"/>
  <c r="AG7" i="65"/>
  <c r="AH7" i="65"/>
  <c r="AI7" i="65"/>
  <c r="AC15" i="63"/>
  <c r="AH13" i="63"/>
  <c r="AI13" i="63"/>
  <c r="AG13" i="63"/>
  <c r="AH14" i="63"/>
  <c r="AI14" i="63"/>
  <c r="AG14" i="63"/>
  <c r="D15" i="67"/>
  <c r="P18" i="81" s="1"/>
  <c r="L7" i="67"/>
  <c r="U7" i="67"/>
  <c r="O99" i="81" s="1"/>
  <c r="L45" i="67"/>
  <c r="O152" i="81" s="1"/>
  <c r="K24" i="65"/>
  <c r="G5" i="65"/>
  <c r="T5" i="65"/>
  <c r="H97" i="81" s="1"/>
  <c r="F5" i="65"/>
  <c r="H5" i="65"/>
  <c r="K5" i="65"/>
  <c r="L32" i="65"/>
  <c r="L51" i="65" s="1"/>
  <c r="I158" i="81" s="1"/>
  <c r="U13" i="65"/>
  <c r="I105" i="81" s="1"/>
  <c r="L13" i="65"/>
  <c r="L24" i="65"/>
  <c r="L43" i="65" s="1"/>
  <c r="I150" i="81" s="1"/>
  <c r="L5" i="65"/>
  <c r="U5" i="65"/>
  <c r="I97" i="81" s="1"/>
  <c r="U3" i="63"/>
  <c r="C95" i="81" s="1"/>
  <c r="L22" i="63"/>
  <c r="L3" i="63"/>
  <c r="U13" i="63"/>
  <c r="C105" i="81" s="1"/>
  <c r="L13" i="63"/>
  <c r="L32" i="63"/>
  <c r="L51" i="63" s="1"/>
  <c r="C158" i="81" s="1"/>
  <c r="L28" i="65"/>
  <c r="L47" i="65" s="1"/>
  <c r="I154" i="81" s="1"/>
  <c r="K32" i="65"/>
  <c r="K13" i="65"/>
  <c r="T13" i="65"/>
  <c r="H105" i="81" s="1"/>
  <c r="H13" i="65"/>
  <c r="G13" i="65"/>
  <c r="F13" i="65"/>
  <c r="U11" i="67"/>
  <c r="O103" i="81" s="1"/>
  <c r="U11" i="63"/>
  <c r="C103" i="81" s="1"/>
  <c r="L30" i="63"/>
  <c r="L49" i="63" s="1"/>
  <c r="C156" i="81" s="1"/>
  <c r="L11" i="63"/>
  <c r="K28" i="65"/>
  <c r="K9" i="65"/>
  <c r="T9" i="65"/>
  <c r="H101" i="81" s="1"/>
  <c r="L7" i="63"/>
  <c r="L26" i="63"/>
  <c r="U7" i="63"/>
  <c r="C99" i="81" s="1"/>
  <c r="E15" i="67"/>
  <c r="Q18" i="81" s="1"/>
  <c r="H5" i="69"/>
  <c r="O32" i="69"/>
  <c r="M51" i="69"/>
  <c r="V158" i="81" s="1"/>
  <c r="P32" i="69"/>
  <c r="Q32" i="69"/>
  <c r="C8" i="67"/>
  <c r="C10" i="65"/>
  <c r="I13" i="81" s="1"/>
  <c r="C10" i="63"/>
  <c r="C13" i="81" s="1"/>
  <c r="B14" i="67"/>
  <c r="B9" i="63"/>
  <c r="B12" i="81" s="1"/>
  <c r="T4" i="63"/>
  <c r="B96" i="81" s="1"/>
  <c r="K23" i="63"/>
  <c r="K4" i="63"/>
  <c r="M29" i="63"/>
  <c r="M48" i="63" s="1"/>
  <c r="D155" i="81" s="1"/>
  <c r="V10" i="63"/>
  <c r="D102" i="81" s="1"/>
  <c r="M10" i="63"/>
  <c r="W12" i="65"/>
  <c r="K104" i="81" s="1"/>
  <c r="N31" i="65"/>
  <c r="N50" i="65" s="1"/>
  <c r="K157" i="81" s="1"/>
  <c r="N12" i="65"/>
  <c r="M23" i="69"/>
  <c r="G4" i="69"/>
  <c r="H4" i="69"/>
  <c r="F4" i="69"/>
  <c r="M32" i="63"/>
  <c r="M51" i="63" s="1"/>
  <c r="D158" i="81" s="1"/>
  <c r="V13" i="63"/>
  <c r="D105" i="81" s="1"/>
  <c r="M13" i="63"/>
  <c r="M25" i="65"/>
  <c r="M44" i="65" s="1"/>
  <c r="J151" i="81" s="1"/>
  <c r="D18" i="65"/>
  <c r="V6" i="65"/>
  <c r="J98" i="81" s="1"/>
  <c r="M6" i="65"/>
  <c r="N8" i="69"/>
  <c r="N27" i="69"/>
  <c r="N46" i="69" s="1"/>
  <c r="W153" i="81" s="1"/>
  <c r="H9" i="69"/>
  <c r="N22" i="69"/>
  <c r="N3" i="69"/>
  <c r="E15" i="69"/>
  <c r="W18" i="81" s="1"/>
  <c r="E17" i="69"/>
  <c r="C10" i="67"/>
  <c r="C12" i="65"/>
  <c r="I15" i="81" s="1"/>
  <c r="C8" i="63"/>
  <c r="T12" i="67"/>
  <c r="N104" i="81" s="1"/>
  <c r="K12" i="67"/>
  <c r="B7" i="63"/>
  <c r="B10" i="81" s="1"/>
  <c r="V8" i="65"/>
  <c r="J100" i="81" s="1"/>
  <c r="M27" i="65"/>
  <c r="M46" i="65" s="1"/>
  <c r="J153" i="81" s="1"/>
  <c r="M8" i="65"/>
  <c r="N10" i="63"/>
  <c r="W10" i="63"/>
  <c r="E102" i="81" s="1"/>
  <c r="N29" i="63"/>
  <c r="M31" i="69"/>
  <c r="M12" i="69"/>
  <c r="F12" i="69"/>
  <c r="H12" i="69"/>
  <c r="G12" i="69"/>
  <c r="B13" i="67"/>
  <c r="B6" i="63"/>
  <c r="B9" i="81" s="1"/>
  <c r="V12" i="65"/>
  <c r="J104" i="81" s="1"/>
  <c r="M31" i="65"/>
  <c r="M50" i="65" s="1"/>
  <c r="J157" i="81" s="1"/>
  <c r="M12" i="65"/>
  <c r="W8" i="65"/>
  <c r="K100" i="81" s="1"/>
  <c r="N27" i="65"/>
  <c r="N46" i="65" s="1"/>
  <c r="K153" i="81" s="1"/>
  <c r="N8" i="65"/>
  <c r="N10" i="69"/>
  <c r="N29" i="69"/>
  <c r="N48" i="69" s="1"/>
  <c r="W155" i="81" s="1"/>
  <c r="W10" i="69"/>
  <c r="W102" i="81" s="1"/>
  <c r="N24" i="63"/>
  <c r="N43" i="63" s="1"/>
  <c r="E150" i="81" s="1"/>
  <c r="W5" i="63"/>
  <c r="E97" i="81" s="1"/>
  <c r="N5" i="63"/>
  <c r="V10" i="65"/>
  <c r="J102" i="81" s="1"/>
  <c r="M29" i="65"/>
  <c r="M48" i="65" s="1"/>
  <c r="J155" i="81" s="1"/>
  <c r="M10" i="65"/>
  <c r="N12" i="63"/>
  <c r="N31" i="63"/>
  <c r="W12" i="63"/>
  <c r="E104" i="81" s="1"/>
  <c r="G14" i="69"/>
  <c r="M33" i="69"/>
  <c r="M14" i="69"/>
  <c r="F14" i="69"/>
  <c r="H14" i="69"/>
  <c r="M41" i="67"/>
  <c r="P148" i="81" s="1"/>
  <c r="G5" i="69"/>
  <c r="C4" i="67"/>
  <c r="C6" i="65"/>
  <c r="I9" i="81" s="1"/>
  <c r="C6" i="63"/>
  <c r="C9" i="81" s="1"/>
  <c r="T4" i="65"/>
  <c r="H96" i="81" s="1"/>
  <c r="K23" i="65"/>
  <c r="K4" i="65"/>
  <c r="K8" i="63"/>
  <c r="K27" i="63"/>
  <c r="T8" i="63"/>
  <c r="B100" i="81" s="1"/>
  <c r="G8" i="63"/>
  <c r="F8" i="63"/>
  <c r="C13" i="67"/>
  <c r="O16" i="81" s="1"/>
  <c r="C11" i="65"/>
  <c r="I14" i="81" s="1"/>
  <c r="C3" i="65"/>
  <c r="I6" i="81" s="1"/>
  <c r="M6" i="63"/>
  <c r="V6" i="63"/>
  <c r="D98" i="81" s="1"/>
  <c r="M25" i="63"/>
  <c r="M44" i="63" s="1"/>
  <c r="D151" i="81" s="1"/>
  <c r="D18" i="63"/>
  <c r="M4" i="65"/>
  <c r="M23" i="65"/>
  <c r="M42" i="65" s="1"/>
  <c r="J149" i="81" s="1"/>
  <c r="V4" i="65"/>
  <c r="J96" i="81" s="1"/>
  <c r="M8" i="69"/>
  <c r="M27" i="69"/>
  <c r="F8" i="69"/>
  <c r="H8" i="69"/>
  <c r="G8" i="69"/>
  <c r="M9" i="67"/>
  <c r="V9" i="67"/>
  <c r="P101" i="81" s="1"/>
  <c r="N47" i="67"/>
  <c r="Q154" i="81" s="1"/>
  <c r="N9" i="67"/>
  <c r="W9" i="67"/>
  <c r="Q101" i="81" s="1"/>
  <c r="M4" i="63"/>
  <c r="V4" i="63"/>
  <c r="D96" i="81" s="1"/>
  <c r="M23" i="63"/>
  <c r="M42" i="63" s="1"/>
  <c r="D149" i="81" s="1"/>
  <c r="N23" i="63"/>
  <c r="N42" i="63" s="1"/>
  <c r="E149" i="81" s="1"/>
  <c r="N4" i="63"/>
  <c r="W4" i="63"/>
  <c r="E96" i="81" s="1"/>
  <c r="N8" i="67"/>
  <c r="N46" i="67"/>
  <c r="Q153" i="81" s="1"/>
  <c r="W8" i="67"/>
  <c r="Q100" i="81" s="1"/>
  <c r="E17" i="63"/>
  <c r="Y9" i="69"/>
  <c r="Z9" i="69"/>
  <c r="X9" i="69"/>
  <c r="C6" i="67"/>
  <c r="C8" i="65"/>
  <c r="I11" i="81" s="1"/>
  <c r="C4" i="63"/>
  <c r="C7" i="81" s="1"/>
  <c r="B8" i="67"/>
  <c r="T11" i="63"/>
  <c r="B103" i="81" s="1"/>
  <c r="K30" i="63"/>
  <c r="K11" i="63"/>
  <c r="G11" i="63"/>
  <c r="H11" i="63"/>
  <c r="F11" i="63"/>
  <c r="M30" i="65"/>
  <c r="M49" i="65" s="1"/>
  <c r="J156" i="81" s="1"/>
  <c r="V11" i="65"/>
  <c r="J103" i="81" s="1"/>
  <c r="M11" i="65"/>
  <c r="N9" i="63"/>
  <c r="W9" i="63"/>
  <c r="E101" i="81" s="1"/>
  <c r="N28" i="63"/>
  <c r="M26" i="69"/>
  <c r="F7" i="69"/>
  <c r="G7" i="69"/>
  <c r="H7" i="69"/>
  <c r="M46" i="67"/>
  <c r="P153" i="81" s="1"/>
  <c r="M8" i="67"/>
  <c r="V8" i="67"/>
  <c r="P100" i="81" s="1"/>
  <c r="N29" i="65"/>
  <c r="N48" i="65" s="1"/>
  <c r="K155" i="81" s="1"/>
  <c r="W10" i="65"/>
  <c r="K102" i="81" s="1"/>
  <c r="N10" i="65"/>
  <c r="M29" i="69"/>
  <c r="M10" i="69"/>
  <c r="H10" i="69"/>
  <c r="G10" i="69"/>
  <c r="F10" i="69"/>
  <c r="P7" i="69"/>
  <c r="O7" i="69"/>
  <c r="Q7" i="69"/>
  <c r="B9" i="67"/>
  <c r="B10" i="63"/>
  <c r="B13" i="81" s="1"/>
  <c r="D17" i="63"/>
  <c r="N41" i="67"/>
  <c r="Q148" i="81" s="1"/>
  <c r="F5" i="69"/>
  <c r="B3" i="63"/>
  <c r="B6" i="81" s="1"/>
  <c r="D18" i="67"/>
  <c r="V6" i="67"/>
  <c r="P98" i="81" s="1"/>
  <c r="M44" i="67"/>
  <c r="P151" i="81" s="1"/>
  <c r="M6" i="67"/>
  <c r="N10" i="67"/>
  <c r="W10" i="67"/>
  <c r="Q102" i="81" s="1"/>
  <c r="M5" i="63"/>
  <c r="V5" i="63"/>
  <c r="D97" i="81" s="1"/>
  <c r="M24" i="63"/>
  <c r="M43" i="63" s="1"/>
  <c r="D150" i="81" s="1"/>
  <c r="M3" i="65"/>
  <c r="M22" i="65"/>
  <c r="V3" i="65"/>
  <c r="J95" i="81" s="1"/>
  <c r="D15" i="65"/>
  <c r="J18" i="81" s="1"/>
  <c r="D17" i="65"/>
  <c r="W7" i="65"/>
  <c r="K99" i="81" s="1"/>
  <c r="N26" i="65"/>
  <c r="N45" i="65" s="1"/>
  <c r="K152" i="81" s="1"/>
  <c r="AJ152" i="81" s="1"/>
  <c r="N7" i="65"/>
  <c r="N9" i="69"/>
  <c r="Q9" i="69" s="1"/>
  <c r="N28" i="69"/>
  <c r="N47" i="69" s="1"/>
  <c r="W154" i="81" s="1"/>
  <c r="M14" i="65"/>
  <c r="V14" i="65"/>
  <c r="J106" i="81" s="1"/>
  <c r="M33" i="65"/>
  <c r="M52" i="65" s="1"/>
  <c r="J159" i="81" s="1"/>
  <c r="W4" i="67"/>
  <c r="Q96" i="81" s="1"/>
  <c r="N42" i="67"/>
  <c r="Q149" i="81" s="1"/>
  <c r="N4" i="67"/>
  <c r="C9" i="67"/>
  <c r="C7" i="65"/>
  <c r="I10" i="81" s="1"/>
  <c r="E15" i="63"/>
  <c r="E18" i="81" s="1"/>
  <c r="N41" i="63"/>
  <c r="E148" i="81" s="1"/>
  <c r="M47" i="69"/>
  <c r="V154" i="81" s="1"/>
  <c r="C4" i="65"/>
  <c r="T4" i="67"/>
  <c r="N96" i="81" s="1"/>
  <c r="K4" i="67"/>
  <c r="K14" i="63"/>
  <c r="K33" i="63"/>
  <c r="T14" i="63"/>
  <c r="B106" i="81" s="1"/>
  <c r="M14" i="67"/>
  <c r="M52" i="67"/>
  <c r="P159" i="81" s="1"/>
  <c r="V14" i="67"/>
  <c r="P106" i="81" s="1"/>
  <c r="W4" i="65"/>
  <c r="K96" i="81" s="1"/>
  <c r="N4" i="65"/>
  <c r="N23" i="65"/>
  <c r="N42" i="65" s="1"/>
  <c r="K149" i="81" s="1"/>
  <c r="E18" i="69"/>
  <c r="N6" i="69"/>
  <c r="Z7" i="69"/>
  <c r="X7" i="69"/>
  <c r="Y7" i="69"/>
  <c r="B5" i="67"/>
  <c r="B11" i="65"/>
  <c r="H14" i="81" s="1"/>
  <c r="M41" i="63"/>
  <c r="D148" i="81" s="1"/>
  <c r="N25" i="63"/>
  <c r="N44" i="63" s="1"/>
  <c r="E151" i="81" s="1"/>
  <c r="N6" i="63"/>
  <c r="E18" i="63"/>
  <c r="W6" i="63"/>
  <c r="E98" i="81" s="1"/>
  <c r="N6" i="67"/>
  <c r="W6" i="67"/>
  <c r="Q98" i="81" s="1"/>
  <c r="E18" i="67"/>
  <c r="M28" i="63"/>
  <c r="M47" i="63" s="1"/>
  <c r="D154" i="81" s="1"/>
  <c r="M9" i="63"/>
  <c r="V9" i="63"/>
  <c r="D101" i="81" s="1"/>
  <c r="N22" i="65"/>
  <c r="N3" i="65"/>
  <c r="W3" i="65"/>
  <c r="K95" i="81" s="1"/>
  <c r="E17" i="65"/>
  <c r="E15" i="65"/>
  <c r="K18" i="81" s="1"/>
  <c r="M11" i="69"/>
  <c r="M30" i="69"/>
  <c r="F11" i="69"/>
  <c r="G11" i="69"/>
  <c r="H11" i="69"/>
  <c r="M31" i="63"/>
  <c r="M12" i="63"/>
  <c r="V12" i="63"/>
  <c r="D104" i="81" s="1"/>
  <c r="V12" i="67"/>
  <c r="P104" i="81" s="1"/>
  <c r="M12" i="67"/>
  <c r="F6" i="69"/>
  <c r="H6" i="69"/>
  <c r="D18" i="69"/>
  <c r="M25" i="69"/>
  <c r="G6" i="69"/>
  <c r="D17" i="67"/>
  <c r="M43" i="69"/>
  <c r="V150" i="81" s="1"/>
  <c r="Q24" i="69"/>
  <c r="P24" i="69"/>
  <c r="O24" i="69"/>
  <c r="O13" i="69"/>
  <c r="P13" i="69"/>
  <c r="Q13" i="69"/>
  <c r="C12" i="67"/>
  <c r="O15" i="81" s="1"/>
  <c r="C14" i="65"/>
  <c r="C14" i="63"/>
  <c r="C17" i="81" s="1"/>
  <c r="B6" i="67"/>
  <c r="K31" i="65"/>
  <c r="C5" i="67"/>
  <c r="O8" i="81" s="1"/>
  <c r="G11" i="67"/>
  <c r="K11" i="67"/>
  <c r="T11" i="67"/>
  <c r="N103" i="81" s="1"/>
  <c r="H11" i="67"/>
  <c r="K12" i="63"/>
  <c r="K31" i="63"/>
  <c r="T12" i="63"/>
  <c r="B104" i="81" s="1"/>
  <c r="M33" i="63"/>
  <c r="M52" i="63" s="1"/>
  <c r="D159" i="81" s="1"/>
  <c r="V14" i="63"/>
  <c r="D106" i="81" s="1"/>
  <c r="M14" i="63"/>
  <c r="M48" i="67"/>
  <c r="P155" i="81" s="1"/>
  <c r="V10" i="67"/>
  <c r="P102" i="81" s="1"/>
  <c r="M10" i="67"/>
  <c r="M26" i="65"/>
  <c r="M45" i="65" s="1"/>
  <c r="J152" i="81" s="1"/>
  <c r="V7" i="65"/>
  <c r="J99" i="81" s="1"/>
  <c r="M7" i="65"/>
  <c r="W11" i="65"/>
  <c r="K103" i="81" s="1"/>
  <c r="N30" i="65"/>
  <c r="N49" i="65" s="1"/>
  <c r="K156" i="81" s="1"/>
  <c r="AJ156" i="81" s="1"/>
  <c r="N11" i="65"/>
  <c r="M3" i="69"/>
  <c r="M22" i="69"/>
  <c r="F3" i="69"/>
  <c r="D17" i="69"/>
  <c r="H3" i="69"/>
  <c r="G3" i="69"/>
  <c r="D15" i="69"/>
  <c r="V18" i="81" s="1"/>
  <c r="N25" i="65"/>
  <c r="N44" i="65" s="1"/>
  <c r="K151" i="81" s="1"/>
  <c r="N6" i="65"/>
  <c r="W6" i="65"/>
  <c r="K98" i="81" s="1"/>
  <c r="E18" i="65"/>
  <c r="N12" i="69"/>
  <c r="W12" i="69"/>
  <c r="W104" i="81" s="1"/>
  <c r="N31" i="69"/>
  <c r="G9" i="69"/>
  <c r="C14" i="67"/>
  <c r="O17" i="81" s="1"/>
  <c r="C12" i="63"/>
  <c r="M8" i="63"/>
  <c r="M27" i="63"/>
  <c r="V8" i="63"/>
  <c r="D100" i="81" s="1"/>
  <c r="N27" i="63"/>
  <c r="N46" i="63" s="1"/>
  <c r="E153" i="81" s="1"/>
  <c r="W8" i="63"/>
  <c r="E100" i="81" s="1"/>
  <c r="N8" i="63"/>
  <c r="N12" i="67"/>
  <c r="W12" i="67"/>
  <c r="Q104" i="81" s="1"/>
  <c r="N50" i="67"/>
  <c r="Q157" i="81" s="1"/>
  <c r="B7" i="65"/>
  <c r="H10" i="81" s="1"/>
  <c r="B3" i="65"/>
  <c r="H6" i="81" s="1"/>
  <c r="D15" i="63"/>
  <c r="D18" i="81" s="1"/>
  <c r="K5" i="74" l="1"/>
  <c r="AC24" i="74"/>
  <c r="T5" i="74"/>
  <c r="T76" i="74"/>
  <c r="AL5" i="74"/>
  <c r="B42" i="81"/>
  <c r="F5" i="74"/>
  <c r="H5" i="74"/>
  <c r="G5" i="74"/>
  <c r="T7" i="67"/>
  <c r="N99" i="81" s="1"/>
  <c r="L24" i="63"/>
  <c r="F12" i="65"/>
  <c r="AR9" i="74"/>
  <c r="AD82" i="74"/>
  <c r="B188" i="81" s="1"/>
  <c r="AG188" i="81" s="1"/>
  <c r="Z80" i="74"/>
  <c r="L5" i="63"/>
  <c r="B133" i="81"/>
  <c r="Y82" i="74"/>
  <c r="AI28" i="74"/>
  <c r="Y80" i="74"/>
  <c r="O9" i="69"/>
  <c r="K22" i="67"/>
  <c r="U5" i="63"/>
  <c r="C97" i="81" s="1"/>
  <c r="Z11" i="74"/>
  <c r="B15" i="74"/>
  <c r="B52" i="81" s="1"/>
  <c r="AI154" i="81"/>
  <c r="B115" i="81"/>
  <c r="Q11" i="74"/>
  <c r="Y7" i="74"/>
  <c r="Y13" i="69"/>
  <c r="AJ153" i="81"/>
  <c r="P9" i="69"/>
  <c r="G3" i="67"/>
  <c r="Z13" i="69"/>
  <c r="U3" i="67"/>
  <c r="O95" i="81" s="1"/>
  <c r="H3" i="67"/>
  <c r="F3" i="67"/>
  <c r="X13" i="69"/>
  <c r="AI158" i="81"/>
  <c r="L23" i="67"/>
  <c r="O7" i="81"/>
  <c r="AJ150" i="81"/>
  <c r="L29" i="67"/>
  <c r="O13" i="81"/>
  <c r="K23" i="67"/>
  <c r="Q23" i="67" s="1"/>
  <c r="N7" i="81"/>
  <c r="L9" i="65"/>
  <c r="I12" i="81"/>
  <c r="F12" i="63"/>
  <c r="C15" i="81"/>
  <c r="K24" i="67"/>
  <c r="N8" i="81"/>
  <c r="L28" i="67"/>
  <c r="O12" i="81"/>
  <c r="K33" i="67"/>
  <c r="N17" i="81"/>
  <c r="T10" i="65"/>
  <c r="H102" i="81" s="1"/>
  <c r="H13" i="81"/>
  <c r="K30" i="67"/>
  <c r="N14" i="81"/>
  <c r="L30" i="67"/>
  <c r="L49" i="67" s="1"/>
  <c r="O156" i="81" s="1"/>
  <c r="O14" i="81"/>
  <c r="H14" i="65"/>
  <c r="I17" i="81"/>
  <c r="G4" i="65"/>
  <c r="I7" i="81"/>
  <c r="AI150" i="81"/>
  <c r="K28" i="67"/>
  <c r="N12" i="81"/>
  <c r="K5" i="63"/>
  <c r="P5" i="63" s="1"/>
  <c r="B8" i="81"/>
  <c r="T13" i="63"/>
  <c r="B105" i="81" s="1"/>
  <c r="B16" i="81"/>
  <c r="K33" i="65"/>
  <c r="K52" i="65" s="1"/>
  <c r="H159" i="81" s="1"/>
  <c r="H17" i="81"/>
  <c r="AJ149" i="81"/>
  <c r="K32" i="67"/>
  <c r="N16" i="81"/>
  <c r="L22" i="67"/>
  <c r="O6" i="81"/>
  <c r="L9" i="63"/>
  <c r="C12" i="81"/>
  <c r="T12" i="65"/>
  <c r="H104" i="81" s="1"/>
  <c r="H15" i="81"/>
  <c r="K29" i="67"/>
  <c r="N13" i="81"/>
  <c r="AC47" i="74"/>
  <c r="AG28" i="74"/>
  <c r="Y9" i="74"/>
  <c r="X11" i="74"/>
  <c r="AH30" i="74"/>
  <c r="Z78" i="74"/>
  <c r="F10" i="74"/>
  <c r="G10" i="74"/>
  <c r="K10" i="74"/>
  <c r="AL10" i="74"/>
  <c r="T10" i="74"/>
  <c r="B47" i="81"/>
  <c r="T81" i="74"/>
  <c r="AC29" i="74"/>
  <c r="H10" i="74"/>
  <c r="B119" i="81"/>
  <c r="AL8" i="74"/>
  <c r="AC27" i="74"/>
  <c r="K8" i="74"/>
  <c r="F8" i="74"/>
  <c r="B45" i="81"/>
  <c r="T79" i="74"/>
  <c r="H8" i="74"/>
  <c r="G8" i="74"/>
  <c r="T8" i="74"/>
  <c r="B50" i="81"/>
  <c r="H13" i="74"/>
  <c r="G13" i="74"/>
  <c r="K13" i="74"/>
  <c r="T84" i="74"/>
  <c r="T13" i="74"/>
  <c r="F13" i="74"/>
  <c r="AL13" i="74"/>
  <c r="AC32" i="74"/>
  <c r="K6" i="74"/>
  <c r="AC25" i="74"/>
  <c r="B18" i="74"/>
  <c r="F18" i="74" s="1"/>
  <c r="AL6" i="74"/>
  <c r="H6" i="74"/>
  <c r="F6" i="74"/>
  <c r="T77" i="74"/>
  <c r="G6" i="74"/>
  <c r="B43" i="81"/>
  <c r="T6" i="74"/>
  <c r="AL4" i="74"/>
  <c r="AC23" i="74"/>
  <c r="B41" i="81"/>
  <c r="T4" i="74"/>
  <c r="K4" i="74"/>
  <c r="G4" i="74"/>
  <c r="H4" i="74"/>
  <c r="T75" i="74"/>
  <c r="F4" i="74"/>
  <c r="K3" i="74"/>
  <c r="H3" i="74"/>
  <c r="T74" i="74"/>
  <c r="AC22" i="74"/>
  <c r="T3" i="74"/>
  <c r="F3" i="74"/>
  <c r="B40" i="81"/>
  <c r="AL3" i="74"/>
  <c r="G3" i="74"/>
  <c r="B17" i="74"/>
  <c r="F17" i="74" s="1"/>
  <c r="AD83" i="74"/>
  <c r="B189" i="81" s="1"/>
  <c r="AG189" i="81" s="1"/>
  <c r="Y83" i="74"/>
  <c r="X83" i="74"/>
  <c r="Z83" i="74"/>
  <c r="AC50" i="74"/>
  <c r="AG31" i="74"/>
  <c r="AI31" i="74"/>
  <c r="AH31" i="74"/>
  <c r="B120" i="81"/>
  <c r="X12" i="74"/>
  <c r="Z12" i="74"/>
  <c r="Y12" i="74"/>
  <c r="B136" i="81"/>
  <c r="AR12" i="74"/>
  <c r="AQ12" i="74"/>
  <c r="AP12" i="74"/>
  <c r="Q12" i="74"/>
  <c r="O12" i="74"/>
  <c r="P12" i="74"/>
  <c r="K26" i="67"/>
  <c r="P26" i="67" s="1"/>
  <c r="N10" i="81"/>
  <c r="K25" i="67"/>
  <c r="N9" i="81"/>
  <c r="N15" i="67"/>
  <c r="T6" i="65"/>
  <c r="H98" i="81" s="1"/>
  <c r="H9" i="81"/>
  <c r="L25" i="67"/>
  <c r="L44" i="67" s="1"/>
  <c r="O151" i="81" s="1"/>
  <c r="O9" i="81"/>
  <c r="K27" i="67"/>
  <c r="N11" i="81"/>
  <c r="K8" i="65"/>
  <c r="H11" i="81"/>
  <c r="H8" i="63"/>
  <c r="C11" i="81"/>
  <c r="L27" i="67"/>
  <c r="L46" i="67" s="1"/>
  <c r="O153" i="81" s="1"/>
  <c r="O11" i="81"/>
  <c r="Q28" i="69"/>
  <c r="K27" i="65"/>
  <c r="F14" i="65"/>
  <c r="G17" i="69"/>
  <c r="G12" i="65"/>
  <c r="L11" i="67"/>
  <c r="O11" i="67" s="1"/>
  <c r="T14" i="65"/>
  <c r="H106" i="81" s="1"/>
  <c r="H17" i="69"/>
  <c r="H5" i="63"/>
  <c r="K12" i="65"/>
  <c r="K10" i="67"/>
  <c r="K13" i="63"/>
  <c r="O13" i="63" s="1"/>
  <c r="F6" i="65"/>
  <c r="G10" i="65"/>
  <c r="T8" i="65"/>
  <c r="H100" i="81" s="1"/>
  <c r="M15" i="63"/>
  <c r="F11" i="67"/>
  <c r="H12" i="65"/>
  <c r="U9" i="63"/>
  <c r="C101" i="81" s="1"/>
  <c r="T5" i="63"/>
  <c r="B97" i="81" s="1"/>
  <c r="F4" i="67"/>
  <c r="G10" i="67"/>
  <c r="F8" i="65"/>
  <c r="H7" i="67"/>
  <c r="H10" i="65"/>
  <c r="K29" i="65"/>
  <c r="K24" i="63"/>
  <c r="K43" i="63" s="1"/>
  <c r="B150" i="81" s="1"/>
  <c r="V15" i="63"/>
  <c r="D107" i="81" s="1"/>
  <c r="F10" i="67"/>
  <c r="K25" i="65"/>
  <c r="K44" i="65" s="1"/>
  <c r="H151" i="81" s="1"/>
  <c r="F7" i="67"/>
  <c r="G13" i="63"/>
  <c r="F13" i="63"/>
  <c r="K10" i="65"/>
  <c r="F9" i="65"/>
  <c r="U9" i="65"/>
  <c r="Y9" i="65" s="1"/>
  <c r="B18" i="65"/>
  <c r="F5" i="63"/>
  <c r="K32" i="63"/>
  <c r="P32" i="63" s="1"/>
  <c r="F10" i="65"/>
  <c r="H9" i="65"/>
  <c r="G5" i="63"/>
  <c r="H10" i="67"/>
  <c r="G7" i="67"/>
  <c r="H13" i="63"/>
  <c r="G9" i="65"/>
  <c r="M34" i="63"/>
  <c r="H4" i="67"/>
  <c r="P28" i="69"/>
  <c r="G4" i="67"/>
  <c r="O28" i="69"/>
  <c r="F17" i="69"/>
  <c r="F18" i="69"/>
  <c r="L24" i="67"/>
  <c r="L33" i="67"/>
  <c r="L52" i="67" s="1"/>
  <c r="O159" i="81" s="1"/>
  <c r="F12" i="67"/>
  <c r="L31" i="67"/>
  <c r="L50" i="67" s="1"/>
  <c r="O157" i="81" s="1"/>
  <c r="L32" i="67"/>
  <c r="L51" i="67" s="1"/>
  <c r="O158" i="81" s="1"/>
  <c r="AH158" i="81" s="1"/>
  <c r="G6" i="65"/>
  <c r="G14" i="65"/>
  <c r="H6" i="65"/>
  <c r="C17" i="63"/>
  <c r="B15" i="67"/>
  <c r="N18" i="81" s="1"/>
  <c r="N15" i="63"/>
  <c r="W15" i="63"/>
  <c r="E107" i="81" s="1"/>
  <c r="W15" i="67"/>
  <c r="Q107" i="81" s="1"/>
  <c r="C17" i="67"/>
  <c r="L31" i="63"/>
  <c r="L50" i="63" s="1"/>
  <c r="C157" i="81" s="1"/>
  <c r="U12" i="63"/>
  <c r="L12" i="63"/>
  <c r="Q12" i="63" s="1"/>
  <c r="H18" i="69"/>
  <c r="Q31" i="63"/>
  <c r="M50" i="63"/>
  <c r="D157" i="81" s="1"/>
  <c r="M49" i="69"/>
  <c r="V156" i="81" s="1"/>
  <c r="AI156" i="81" s="1"/>
  <c r="O30" i="69"/>
  <c r="P30" i="69"/>
  <c r="Q30" i="69"/>
  <c r="P25" i="69"/>
  <c r="N44" i="69"/>
  <c r="W151" i="81" s="1"/>
  <c r="B17" i="67"/>
  <c r="U7" i="65"/>
  <c r="I99" i="81" s="1"/>
  <c r="L7" i="65"/>
  <c r="L26" i="65"/>
  <c r="V15" i="67"/>
  <c r="P107" i="81" s="1"/>
  <c r="K10" i="63"/>
  <c r="T10" i="63"/>
  <c r="B102" i="81" s="1"/>
  <c r="K29" i="63"/>
  <c r="G10" i="63"/>
  <c r="F10" i="63"/>
  <c r="H10" i="63"/>
  <c r="M48" i="69"/>
  <c r="V155" i="81" s="1"/>
  <c r="AI155" i="81" s="1"/>
  <c r="O29" i="69"/>
  <c r="P29" i="69"/>
  <c r="Q29" i="69"/>
  <c r="N47" i="63"/>
  <c r="E154" i="81" s="1"/>
  <c r="AJ154" i="81" s="1"/>
  <c r="K49" i="63"/>
  <c r="B156" i="81" s="1"/>
  <c r="Q30" i="63"/>
  <c r="O30" i="63"/>
  <c r="P30" i="63"/>
  <c r="X7" i="67"/>
  <c r="Z7" i="67"/>
  <c r="Y7" i="67"/>
  <c r="K46" i="63"/>
  <c r="B153" i="81" s="1"/>
  <c r="Q13" i="63"/>
  <c r="K42" i="65"/>
  <c r="H149" i="81" s="1"/>
  <c r="B18" i="63"/>
  <c r="T6" i="63"/>
  <c r="B98" i="81" s="1"/>
  <c r="F6" i="63"/>
  <c r="K25" i="63"/>
  <c r="G6" i="63"/>
  <c r="H6" i="63"/>
  <c r="K6" i="63"/>
  <c r="M50" i="69"/>
  <c r="V157" i="81" s="1"/>
  <c r="O31" i="69"/>
  <c r="P31" i="69"/>
  <c r="G7" i="63"/>
  <c r="T7" i="63"/>
  <c r="B99" i="81" s="1"/>
  <c r="K26" i="63"/>
  <c r="P26" i="63" s="1"/>
  <c r="K7" i="63"/>
  <c r="F7" i="63"/>
  <c r="H7" i="63"/>
  <c r="H12" i="67"/>
  <c r="N41" i="69"/>
  <c r="W148" i="81" s="1"/>
  <c r="N34" i="69"/>
  <c r="H4" i="63"/>
  <c r="K9" i="63"/>
  <c r="G9" i="63"/>
  <c r="T9" i="63"/>
  <c r="K28" i="63"/>
  <c r="H9" i="63"/>
  <c r="F9" i="63"/>
  <c r="G8" i="65"/>
  <c r="K43" i="65"/>
  <c r="H150" i="81" s="1"/>
  <c r="O24" i="65"/>
  <c r="Q24" i="65"/>
  <c r="P24" i="65"/>
  <c r="K3" i="65"/>
  <c r="K22" i="65"/>
  <c r="T3" i="65"/>
  <c r="H95" i="81" s="1"/>
  <c r="B17" i="65"/>
  <c r="B15" i="65"/>
  <c r="H18" i="81" s="1"/>
  <c r="G3" i="65"/>
  <c r="F3" i="65"/>
  <c r="H3" i="65"/>
  <c r="Q31" i="69"/>
  <c r="N50" i="69"/>
  <c r="W157" i="81" s="1"/>
  <c r="Z3" i="69"/>
  <c r="V15" i="69"/>
  <c r="V107" i="81" s="1"/>
  <c r="Y3" i="69"/>
  <c r="X3" i="69"/>
  <c r="K50" i="63"/>
  <c r="B157" i="81" s="1"/>
  <c r="K49" i="67"/>
  <c r="N156" i="81" s="1"/>
  <c r="Q30" i="67"/>
  <c r="O30" i="67"/>
  <c r="T6" i="67"/>
  <c r="N98" i="81" s="1"/>
  <c r="H6" i="67"/>
  <c r="K6" i="67"/>
  <c r="B18" i="67"/>
  <c r="F6" i="67"/>
  <c r="G6" i="67"/>
  <c r="L33" i="63"/>
  <c r="L52" i="63" s="1"/>
  <c r="C159" i="81" s="1"/>
  <c r="U14" i="63"/>
  <c r="L14" i="63"/>
  <c r="P14" i="63" s="1"/>
  <c r="L12" i="67"/>
  <c r="P12" i="67" s="1"/>
  <c r="U12" i="67"/>
  <c r="G18" i="69"/>
  <c r="P11" i="69"/>
  <c r="O11" i="69"/>
  <c r="Q11" i="69"/>
  <c r="W15" i="65"/>
  <c r="K107" i="81" s="1"/>
  <c r="K30" i="65"/>
  <c r="T11" i="65"/>
  <c r="H103" i="81" s="1"/>
  <c r="H11" i="65"/>
  <c r="K11" i="65"/>
  <c r="G11" i="65"/>
  <c r="F11" i="65"/>
  <c r="O6" i="69"/>
  <c r="Q6" i="69"/>
  <c r="P6" i="69"/>
  <c r="F14" i="63"/>
  <c r="M41" i="65"/>
  <c r="M34" i="65"/>
  <c r="K48" i="67"/>
  <c r="N155" i="81" s="1"/>
  <c r="Y11" i="63"/>
  <c r="Z11" i="63"/>
  <c r="L23" i="63"/>
  <c r="L42" i="63" s="1"/>
  <c r="C149" i="81" s="1"/>
  <c r="L4" i="63"/>
  <c r="O4" i="63" s="1"/>
  <c r="U4" i="63"/>
  <c r="U6" i="67"/>
  <c r="O98" i="81" s="1"/>
  <c r="L6" i="67"/>
  <c r="C18" i="67"/>
  <c r="Q27" i="69"/>
  <c r="M46" i="69"/>
  <c r="V153" i="81" s="1"/>
  <c r="P27" i="69"/>
  <c r="O27" i="69"/>
  <c r="O7" i="67"/>
  <c r="Q7" i="67"/>
  <c r="P7" i="67"/>
  <c r="U3" i="65"/>
  <c r="I95" i="81" s="1"/>
  <c r="L3" i="65"/>
  <c r="L22" i="65"/>
  <c r="C17" i="65"/>
  <c r="C15" i="65"/>
  <c r="I18" i="81" s="1"/>
  <c r="Q32" i="63"/>
  <c r="O32" i="63"/>
  <c r="C18" i="63"/>
  <c r="L25" i="63"/>
  <c r="L44" i="63" s="1"/>
  <c r="C151" i="81" s="1"/>
  <c r="L6" i="63"/>
  <c r="U6" i="63"/>
  <c r="C98" i="81" s="1"/>
  <c r="L4" i="67"/>
  <c r="P4" i="67" s="1"/>
  <c r="L42" i="67"/>
  <c r="O149" i="81" s="1"/>
  <c r="U4" i="67"/>
  <c r="M34" i="67"/>
  <c r="O14" i="69"/>
  <c r="P14" i="69"/>
  <c r="Q14" i="69"/>
  <c r="K13" i="67"/>
  <c r="G13" i="67"/>
  <c r="H13" i="67"/>
  <c r="F13" i="67"/>
  <c r="T13" i="67"/>
  <c r="N105" i="81" s="1"/>
  <c r="N48" i="63"/>
  <c r="E155" i="81" s="1"/>
  <c r="AJ155" i="81" s="1"/>
  <c r="L31" i="65"/>
  <c r="L50" i="65" s="1"/>
  <c r="I157" i="81" s="1"/>
  <c r="U12" i="65"/>
  <c r="L12" i="65"/>
  <c r="W15" i="69"/>
  <c r="W107" i="81" s="1"/>
  <c r="M42" i="69"/>
  <c r="V149" i="81" s="1"/>
  <c r="AI149" i="81" s="1"/>
  <c r="O23" i="69"/>
  <c r="P23" i="69"/>
  <c r="Q23" i="69"/>
  <c r="F4" i="63"/>
  <c r="K46" i="65"/>
  <c r="H153" i="81" s="1"/>
  <c r="L29" i="65"/>
  <c r="L48" i="65" s="1"/>
  <c r="I155" i="81" s="1"/>
  <c r="L10" i="65"/>
  <c r="O10" i="65" s="1"/>
  <c r="U10" i="65"/>
  <c r="P9" i="65"/>
  <c r="O9" i="65"/>
  <c r="Q9" i="65"/>
  <c r="Y13" i="65"/>
  <c r="X13" i="65"/>
  <c r="Z13" i="65"/>
  <c r="Z3" i="67"/>
  <c r="X3" i="67"/>
  <c r="Y3" i="67"/>
  <c r="G7" i="65"/>
  <c r="H7" i="65"/>
  <c r="T7" i="65"/>
  <c r="H99" i="81" s="1"/>
  <c r="K7" i="65"/>
  <c r="K26" i="65"/>
  <c r="F7" i="65"/>
  <c r="P22" i="69"/>
  <c r="M41" i="69"/>
  <c r="V148" i="81" s="1"/>
  <c r="O22" i="69"/>
  <c r="Q22" i="69"/>
  <c r="H12" i="63"/>
  <c r="G12" i="63"/>
  <c r="Z11" i="67"/>
  <c r="X11" i="67"/>
  <c r="Y11" i="67"/>
  <c r="P24" i="63"/>
  <c r="M34" i="69"/>
  <c r="M44" i="69"/>
  <c r="V151" i="81" s="1"/>
  <c r="AI151" i="81" s="1"/>
  <c r="Q25" i="69"/>
  <c r="O25" i="69"/>
  <c r="Y11" i="69"/>
  <c r="Z11" i="69"/>
  <c r="X11" i="69"/>
  <c r="N15" i="65"/>
  <c r="O25" i="67"/>
  <c r="N44" i="67"/>
  <c r="Y6" i="69"/>
  <c r="X6" i="69"/>
  <c r="Z6" i="69"/>
  <c r="H14" i="63"/>
  <c r="K52" i="63"/>
  <c r="B159" i="81" s="1"/>
  <c r="O33" i="63"/>
  <c r="K42" i="67"/>
  <c r="N149" i="81" s="1"/>
  <c r="P23" i="67"/>
  <c r="O23" i="67"/>
  <c r="N34" i="63"/>
  <c r="L47" i="67"/>
  <c r="O154" i="81" s="1"/>
  <c r="AH154" i="81" s="1"/>
  <c r="U9" i="67"/>
  <c r="O101" i="81" s="1"/>
  <c r="L9" i="67"/>
  <c r="M15" i="65"/>
  <c r="M15" i="67"/>
  <c r="K3" i="63"/>
  <c r="T3" i="63"/>
  <c r="B95" i="81" s="1"/>
  <c r="K22" i="63"/>
  <c r="F3" i="63"/>
  <c r="B17" i="63"/>
  <c r="G3" i="63"/>
  <c r="H3" i="63"/>
  <c r="B15" i="63"/>
  <c r="B18" i="81" s="1"/>
  <c r="G9" i="67"/>
  <c r="K9" i="67"/>
  <c r="T9" i="67"/>
  <c r="N101" i="81" s="1"/>
  <c r="H9" i="67"/>
  <c r="F9" i="67"/>
  <c r="Q10" i="69"/>
  <c r="O10" i="69"/>
  <c r="P10" i="69"/>
  <c r="M45" i="69"/>
  <c r="V152" i="81" s="1"/>
  <c r="AI152" i="81" s="1"/>
  <c r="P26" i="69"/>
  <c r="Q26" i="69"/>
  <c r="O26" i="69"/>
  <c r="O8" i="69"/>
  <c r="P8" i="69"/>
  <c r="Q8" i="69"/>
  <c r="O26" i="67"/>
  <c r="H4" i="65"/>
  <c r="M53" i="67"/>
  <c r="P160" i="81" s="1"/>
  <c r="P33" i="69"/>
  <c r="M52" i="69"/>
  <c r="V159" i="81" s="1"/>
  <c r="AI159" i="81" s="1"/>
  <c r="O33" i="69"/>
  <c r="Q33" i="69"/>
  <c r="Q12" i="69"/>
  <c r="P12" i="69"/>
  <c r="O12" i="69"/>
  <c r="K50" i="67"/>
  <c r="N157" i="81" s="1"/>
  <c r="Q31" i="67"/>
  <c r="V15" i="65"/>
  <c r="J107" i="81" s="1"/>
  <c r="G4" i="63"/>
  <c r="K42" i="63"/>
  <c r="B149" i="81" s="1"/>
  <c r="K47" i="65"/>
  <c r="H154" i="81" s="1"/>
  <c r="Q28" i="65"/>
  <c r="P28" i="65"/>
  <c r="O28" i="65"/>
  <c r="Q13" i="65"/>
  <c r="P13" i="65"/>
  <c r="O13" i="65"/>
  <c r="L41" i="63"/>
  <c r="C148" i="81" s="1"/>
  <c r="Q3" i="67"/>
  <c r="O3" i="67"/>
  <c r="P3" i="67"/>
  <c r="Z5" i="65"/>
  <c r="X5" i="65"/>
  <c r="Y5" i="65"/>
  <c r="M46" i="63"/>
  <c r="M15" i="69"/>
  <c r="Q3" i="69"/>
  <c r="P3" i="69"/>
  <c r="O3" i="69"/>
  <c r="P12" i="63"/>
  <c r="P11" i="67"/>
  <c r="L43" i="67"/>
  <c r="O150" i="81" s="1"/>
  <c r="L5" i="67"/>
  <c r="U5" i="67"/>
  <c r="O97" i="81" s="1"/>
  <c r="Q5" i="63"/>
  <c r="K50" i="65"/>
  <c r="H157" i="81" s="1"/>
  <c r="O31" i="65"/>
  <c r="U14" i="65"/>
  <c r="L14" i="65"/>
  <c r="Q14" i="65" s="1"/>
  <c r="L33" i="65"/>
  <c r="L52" i="65" s="1"/>
  <c r="I159" i="81" s="1"/>
  <c r="N41" i="65"/>
  <c r="N34" i="65"/>
  <c r="F5" i="67"/>
  <c r="G5" i="67"/>
  <c r="H5" i="67"/>
  <c r="G14" i="63"/>
  <c r="Q4" i="67"/>
  <c r="L23" i="65"/>
  <c r="L42" i="65" s="1"/>
  <c r="I149" i="81" s="1"/>
  <c r="U4" i="65"/>
  <c r="L4" i="65"/>
  <c r="Q4" i="65" s="1"/>
  <c r="K41" i="67"/>
  <c r="N148" i="81" s="1"/>
  <c r="P22" i="67"/>
  <c r="O22" i="67"/>
  <c r="Q22" i="67"/>
  <c r="N34" i="67"/>
  <c r="X10" i="69"/>
  <c r="Y10" i="69"/>
  <c r="Z10" i="69"/>
  <c r="Q11" i="63"/>
  <c r="P11" i="63"/>
  <c r="T8" i="67"/>
  <c r="N100" i="81" s="1"/>
  <c r="H8" i="67"/>
  <c r="F8" i="67"/>
  <c r="K8" i="67"/>
  <c r="G8" i="67"/>
  <c r="L27" i="65"/>
  <c r="L46" i="65" s="1"/>
  <c r="I153" i="81" s="1"/>
  <c r="L8" i="65"/>
  <c r="P8" i="65" s="1"/>
  <c r="U8" i="65"/>
  <c r="Z8" i="69"/>
  <c r="Y8" i="69"/>
  <c r="X8" i="69"/>
  <c r="U11" i="65"/>
  <c r="I103" i="81" s="1"/>
  <c r="L11" i="65"/>
  <c r="L30" i="65"/>
  <c r="L49" i="65" s="1"/>
  <c r="I156" i="81" s="1"/>
  <c r="Y13" i="63"/>
  <c r="Z13" i="63"/>
  <c r="F4" i="65"/>
  <c r="L25" i="65"/>
  <c r="L44" i="65" s="1"/>
  <c r="I151" i="81" s="1"/>
  <c r="U6" i="65"/>
  <c r="L6" i="65"/>
  <c r="Q6" i="65" s="1"/>
  <c r="C18" i="65"/>
  <c r="F18" i="65" s="1"/>
  <c r="Y14" i="69"/>
  <c r="Z14" i="69"/>
  <c r="X14" i="69"/>
  <c r="N50" i="63"/>
  <c r="E157" i="81" s="1"/>
  <c r="X12" i="69"/>
  <c r="Y12" i="69"/>
  <c r="Z12" i="69"/>
  <c r="K48" i="65"/>
  <c r="H155" i="81" s="1"/>
  <c r="G12" i="67"/>
  <c r="L27" i="63"/>
  <c r="L46" i="63" s="1"/>
  <c r="C153" i="81" s="1"/>
  <c r="U8" i="63"/>
  <c r="L8" i="63"/>
  <c r="P8" i="63" s="1"/>
  <c r="L48" i="67"/>
  <c r="O155" i="81" s="1"/>
  <c r="L10" i="67"/>
  <c r="Q10" i="67" s="1"/>
  <c r="U10" i="67"/>
  <c r="N15" i="69"/>
  <c r="X11" i="63"/>
  <c r="X13" i="63"/>
  <c r="H8" i="65"/>
  <c r="T14" i="67"/>
  <c r="N106" i="81" s="1"/>
  <c r="H14" i="67"/>
  <c r="K14" i="67"/>
  <c r="G14" i="67"/>
  <c r="F14" i="67"/>
  <c r="L29" i="63"/>
  <c r="L48" i="63" s="1"/>
  <c r="C155" i="81" s="1"/>
  <c r="AH155" i="81" s="1"/>
  <c r="U10" i="63"/>
  <c r="C102" i="81" s="1"/>
  <c r="L10" i="63"/>
  <c r="O10" i="63" s="1"/>
  <c r="L8" i="67"/>
  <c r="U8" i="67"/>
  <c r="O100" i="81" s="1"/>
  <c r="L45" i="63"/>
  <c r="C152" i="81" s="1"/>
  <c r="O11" i="63"/>
  <c r="P30" i="67"/>
  <c r="K51" i="65"/>
  <c r="H158" i="81" s="1"/>
  <c r="P32" i="65"/>
  <c r="O32" i="65"/>
  <c r="Q32" i="65"/>
  <c r="C15" i="63"/>
  <c r="C18" i="81" s="1"/>
  <c r="C15" i="67"/>
  <c r="O18" i="81" s="1"/>
  <c r="L41" i="67"/>
  <c r="O148" i="81" s="1"/>
  <c r="L43" i="63"/>
  <c r="C150" i="81" s="1"/>
  <c r="AH150" i="81" s="1"/>
  <c r="P5" i="65"/>
  <c r="O5" i="65"/>
  <c r="Q5" i="65"/>
  <c r="X76" i="74" l="1"/>
  <c r="AD76" i="74"/>
  <c r="B182" i="81" s="1"/>
  <c r="AG182" i="81" s="1"/>
  <c r="Y76" i="74"/>
  <c r="Z76" i="74"/>
  <c r="B113" i="81"/>
  <c r="Y5" i="74"/>
  <c r="X5" i="74"/>
  <c r="Z5" i="74"/>
  <c r="AC43" i="74"/>
  <c r="AI24" i="74"/>
  <c r="AG24" i="74"/>
  <c r="AH24" i="74"/>
  <c r="B129" i="81"/>
  <c r="AR5" i="74"/>
  <c r="AQ5" i="74"/>
  <c r="AP5" i="74"/>
  <c r="O5" i="74"/>
  <c r="P5" i="74"/>
  <c r="Q5" i="74"/>
  <c r="Q26" i="67"/>
  <c r="X5" i="63"/>
  <c r="O8" i="65"/>
  <c r="AH156" i="81"/>
  <c r="O12" i="67"/>
  <c r="O24" i="63"/>
  <c r="AJ157" i="81"/>
  <c r="Q31" i="65"/>
  <c r="O5" i="63"/>
  <c r="AG149" i="81"/>
  <c r="K45" i="67"/>
  <c r="N152" i="81" s="1"/>
  <c r="Q24" i="63"/>
  <c r="K51" i="63"/>
  <c r="B158" i="81" s="1"/>
  <c r="Z5" i="63"/>
  <c r="P4" i="63"/>
  <c r="P31" i="65"/>
  <c r="Y5" i="63"/>
  <c r="P13" i="63"/>
  <c r="Z10" i="65"/>
  <c r="I102" i="81"/>
  <c r="X4" i="67"/>
  <c r="O96" i="81"/>
  <c r="AH157" i="81"/>
  <c r="X9" i="65"/>
  <c r="I101" i="81"/>
  <c r="Y14" i="65"/>
  <c r="I106" i="81"/>
  <c r="AH149" i="81"/>
  <c r="Y4" i="65"/>
  <c r="I96" i="81"/>
  <c r="N53" i="65"/>
  <c r="AN147" i="81" s="1"/>
  <c r="K148" i="81"/>
  <c r="AJ148" i="81" s="1"/>
  <c r="Y14" i="63"/>
  <c r="C106" i="81"/>
  <c r="X10" i="67"/>
  <c r="O102" i="81"/>
  <c r="Y12" i="65"/>
  <c r="I104" i="81"/>
  <c r="Y4" i="63"/>
  <c r="C96" i="81"/>
  <c r="M53" i="65"/>
  <c r="J160" i="81" s="1"/>
  <c r="J148" i="81"/>
  <c r="AI148" i="81" s="1"/>
  <c r="Y12" i="67"/>
  <c r="O104" i="81"/>
  <c r="AH159" i="81"/>
  <c r="AG157" i="81"/>
  <c r="Z9" i="63"/>
  <c r="B101" i="81"/>
  <c r="AI157" i="81"/>
  <c r="Z12" i="63"/>
  <c r="C104" i="81"/>
  <c r="Y79" i="74"/>
  <c r="Z79" i="74"/>
  <c r="AD79" i="74"/>
  <c r="B185" i="81" s="1"/>
  <c r="AG185" i="81" s="1"/>
  <c r="X79" i="74"/>
  <c r="AG27" i="74"/>
  <c r="AI27" i="74"/>
  <c r="AH27" i="74"/>
  <c r="AC46" i="74"/>
  <c r="AG29" i="74"/>
  <c r="AI29" i="74"/>
  <c r="AC48" i="74"/>
  <c r="AH29" i="74"/>
  <c r="AP10" i="74"/>
  <c r="AQ10" i="74"/>
  <c r="B134" i="81"/>
  <c r="AR10" i="74"/>
  <c r="Q8" i="74"/>
  <c r="O8" i="74"/>
  <c r="P8" i="74"/>
  <c r="B118" i="81"/>
  <c r="Y10" i="74"/>
  <c r="Z10" i="74"/>
  <c r="X10" i="74"/>
  <c r="B116" i="81"/>
  <c r="X8" i="74"/>
  <c r="Z8" i="74"/>
  <c r="Y8" i="74"/>
  <c r="AP8" i="74"/>
  <c r="AR8" i="74"/>
  <c r="B132" i="81"/>
  <c r="AQ8" i="74"/>
  <c r="X81" i="74"/>
  <c r="Z81" i="74"/>
  <c r="AD81" i="74"/>
  <c r="B187" i="81" s="1"/>
  <c r="AG187" i="81" s="1"/>
  <c r="Y81" i="74"/>
  <c r="Q10" i="74"/>
  <c r="P10" i="74"/>
  <c r="O10" i="74"/>
  <c r="X74" i="74"/>
  <c r="Z74" i="74"/>
  <c r="AD74" i="74"/>
  <c r="B180" i="81" s="1"/>
  <c r="AG180" i="81" s="1"/>
  <c r="Y74" i="74"/>
  <c r="T86" i="74"/>
  <c r="X75" i="74"/>
  <c r="AD75" i="74"/>
  <c r="B181" i="81" s="1"/>
  <c r="AG181" i="81" s="1"/>
  <c r="Z75" i="74"/>
  <c r="Y75" i="74"/>
  <c r="X4" i="74"/>
  <c r="B112" i="81"/>
  <c r="Z4" i="74"/>
  <c r="Y4" i="74"/>
  <c r="Y6" i="74"/>
  <c r="Z6" i="74"/>
  <c r="X6" i="74"/>
  <c r="B114" i="81"/>
  <c r="AC44" i="74"/>
  <c r="AI25" i="74"/>
  <c r="AH25" i="74"/>
  <c r="AG25" i="74"/>
  <c r="AQ13" i="74"/>
  <c r="AP13" i="74"/>
  <c r="B137" i="81"/>
  <c r="AR13" i="74"/>
  <c r="Q13" i="74"/>
  <c r="O13" i="74"/>
  <c r="P13" i="74"/>
  <c r="Y3" i="74"/>
  <c r="Z3" i="74"/>
  <c r="B111" i="81"/>
  <c r="X3" i="74"/>
  <c r="T15" i="74"/>
  <c r="B123" i="81" s="1"/>
  <c r="P6" i="74"/>
  <c r="O6" i="74"/>
  <c r="Q6" i="74"/>
  <c r="Q3" i="74"/>
  <c r="P3" i="74"/>
  <c r="O3" i="74"/>
  <c r="AQ3" i="74"/>
  <c r="B127" i="81"/>
  <c r="AL15" i="74"/>
  <c r="B139" i="81" s="1"/>
  <c r="AR3" i="74"/>
  <c r="AP3" i="74"/>
  <c r="AI22" i="74"/>
  <c r="AH22" i="74"/>
  <c r="AG22" i="74"/>
  <c r="AC41" i="74"/>
  <c r="K15" i="74"/>
  <c r="AH23" i="74"/>
  <c r="AC42" i="74"/>
  <c r="AG23" i="74"/>
  <c r="AI23" i="74"/>
  <c r="AR6" i="74"/>
  <c r="AQ6" i="74"/>
  <c r="AP6" i="74"/>
  <c r="B130" i="81"/>
  <c r="AC34" i="74"/>
  <c r="B121" i="81"/>
  <c r="Y13" i="74"/>
  <c r="X13" i="74"/>
  <c r="Z13" i="74"/>
  <c r="P4" i="74"/>
  <c r="Q4" i="74"/>
  <c r="O4" i="74"/>
  <c r="AQ4" i="74"/>
  <c r="B128" i="81"/>
  <c r="AR4" i="74"/>
  <c r="AP4" i="74"/>
  <c r="Z77" i="74"/>
  <c r="AD77" i="74"/>
  <c r="B183" i="81" s="1"/>
  <c r="AG183" i="81" s="1"/>
  <c r="X77" i="74"/>
  <c r="Y77" i="74"/>
  <c r="AC51" i="74"/>
  <c r="AI32" i="74"/>
  <c r="AH32" i="74"/>
  <c r="AG32" i="74"/>
  <c r="X84" i="74"/>
  <c r="AD84" i="74"/>
  <c r="B190" i="81" s="1"/>
  <c r="AG190" i="81" s="1"/>
  <c r="Z84" i="74"/>
  <c r="Y84" i="74"/>
  <c r="AH151" i="81"/>
  <c r="Z6" i="65"/>
  <c r="I98" i="81"/>
  <c r="N53" i="67"/>
  <c r="AQ147" i="81" s="1"/>
  <c r="Q151" i="81"/>
  <c r="AJ151" i="81" s="1"/>
  <c r="X8" i="63"/>
  <c r="C100" i="81"/>
  <c r="X8" i="65"/>
  <c r="I100" i="81"/>
  <c r="AH153" i="81"/>
  <c r="M53" i="63"/>
  <c r="D160" i="81" s="1"/>
  <c r="D153" i="81"/>
  <c r="AI153" i="81" s="1"/>
  <c r="AI160" i="81" s="1"/>
  <c r="O4" i="67"/>
  <c r="P12" i="65"/>
  <c r="P31" i="63"/>
  <c r="Q11" i="67"/>
  <c r="F17" i="63"/>
  <c r="Z12" i="67"/>
  <c r="O31" i="63"/>
  <c r="U15" i="63"/>
  <c r="C107" i="81" s="1"/>
  <c r="Z4" i="63"/>
  <c r="P23" i="63"/>
  <c r="X12" i="67"/>
  <c r="O29" i="65"/>
  <c r="Q12" i="67"/>
  <c r="L15" i="67"/>
  <c r="Q29" i="65"/>
  <c r="Y12" i="63"/>
  <c r="O23" i="63"/>
  <c r="O31" i="67"/>
  <c r="X12" i="63"/>
  <c r="P33" i="63"/>
  <c r="Z9" i="65"/>
  <c r="P29" i="65"/>
  <c r="Q23" i="63"/>
  <c r="P31" i="67"/>
  <c r="Q33" i="63"/>
  <c r="X12" i="65"/>
  <c r="M53" i="69"/>
  <c r="V160" i="81" s="1"/>
  <c r="X4" i="63"/>
  <c r="Q4" i="63"/>
  <c r="O12" i="63"/>
  <c r="N53" i="63"/>
  <c r="AM147" i="81" s="1"/>
  <c r="Y10" i="65"/>
  <c r="Q8" i="65"/>
  <c r="X10" i="65"/>
  <c r="Z12" i="65"/>
  <c r="F18" i="63"/>
  <c r="P25" i="65"/>
  <c r="F17" i="67"/>
  <c r="O33" i="65"/>
  <c r="L53" i="67"/>
  <c r="O160" i="81" s="1"/>
  <c r="O25" i="65"/>
  <c r="G17" i="67"/>
  <c r="T15" i="67"/>
  <c r="N107" i="81" s="1"/>
  <c r="K52" i="67"/>
  <c r="N159" i="81" s="1"/>
  <c r="AG159" i="81" s="1"/>
  <c r="P33" i="67"/>
  <c r="Q33" i="67"/>
  <c r="O33" i="67"/>
  <c r="Q8" i="67"/>
  <c r="O8" i="67"/>
  <c r="P8" i="67"/>
  <c r="K46" i="67"/>
  <c r="N153" i="81" s="1"/>
  <c r="AG153" i="81" s="1"/>
  <c r="Q27" i="67"/>
  <c r="P27" i="67"/>
  <c r="O27" i="67"/>
  <c r="L34" i="63"/>
  <c r="Z8" i="65"/>
  <c r="Z8" i="63"/>
  <c r="Z9" i="67"/>
  <c r="Y9" i="67"/>
  <c r="X9" i="67"/>
  <c r="P10" i="67"/>
  <c r="X7" i="65"/>
  <c r="Y7" i="65"/>
  <c r="Z7" i="65"/>
  <c r="O27" i="65"/>
  <c r="Z4" i="65"/>
  <c r="Q8" i="63"/>
  <c r="U15" i="65"/>
  <c r="I107" i="81" s="1"/>
  <c r="O6" i="65"/>
  <c r="Q29" i="67"/>
  <c r="X11" i="65"/>
  <c r="Y11" i="65"/>
  <c r="Q6" i="67"/>
  <c r="P6" i="67"/>
  <c r="O6" i="67"/>
  <c r="O12" i="65"/>
  <c r="Q14" i="63"/>
  <c r="O3" i="65"/>
  <c r="Q3" i="65"/>
  <c r="P3" i="65"/>
  <c r="K15" i="65"/>
  <c r="P28" i="63"/>
  <c r="K47" i="63"/>
  <c r="B154" i="81" s="1"/>
  <c r="O28" i="63"/>
  <c r="P10" i="65"/>
  <c r="Q23" i="65"/>
  <c r="X4" i="65"/>
  <c r="Y6" i="65"/>
  <c r="Q28" i="63"/>
  <c r="Z4" i="67"/>
  <c r="O14" i="63"/>
  <c r="P14" i="65"/>
  <c r="O14" i="67"/>
  <c r="P14" i="67"/>
  <c r="Q14" i="67"/>
  <c r="K34" i="67"/>
  <c r="L53" i="63"/>
  <c r="C160" i="81" s="1"/>
  <c r="X10" i="63"/>
  <c r="P28" i="67"/>
  <c r="K47" i="67"/>
  <c r="N154" i="81" s="1"/>
  <c r="O28" i="67"/>
  <c r="Q28" i="67"/>
  <c r="O10" i="67"/>
  <c r="P22" i="63"/>
  <c r="K41" i="63"/>
  <c r="B148" i="81" s="1"/>
  <c r="K34" i="63"/>
  <c r="O22" i="63"/>
  <c r="Q22" i="63"/>
  <c r="Z14" i="65"/>
  <c r="Y13" i="67"/>
  <c r="Z13" i="67"/>
  <c r="X13" i="67"/>
  <c r="P4" i="65"/>
  <c r="P29" i="67"/>
  <c r="Q30" i="65"/>
  <c r="K49" i="65"/>
  <c r="H156" i="81" s="1"/>
  <c r="AG156" i="81" s="1"/>
  <c r="P30" i="65"/>
  <c r="O30" i="65"/>
  <c r="G18" i="67"/>
  <c r="Q12" i="65"/>
  <c r="F17" i="65"/>
  <c r="X9" i="63"/>
  <c r="Y9" i="63"/>
  <c r="Q10" i="65"/>
  <c r="P7" i="63"/>
  <c r="O7" i="63"/>
  <c r="Q7" i="63"/>
  <c r="T15" i="63"/>
  <c r="B107" i="81" s="1"/>
  <c r="X6" i="63"/>
  <c r="Y6" i="63"/>
  <c r="Z6" i="63"/>
  <c r="X6" i="65"/>
  <c r="Z10" i="63"/>
  <c r="Y10" i="63"/>
  <c r="Y10" i="67"/>
  <c r="P26" i="65"/>
  <c r="L45" i="65"/>
  <c r="I152" i="81" s="1"/>
  <c r="AH152" i="81" s="1"/>
  <c r="X14" i="63"/>
  <c r="X14" i="65"/>
  <c r="O14" i="65"/>
  <c r="Q25" i="65"/>
  <c r="K15" i="67"/>
  <c r="P24" i="67"/>
  <c r="K43" i="67"/>
  <c r="N150" i="81" s="1"/>
  <c r="AG150" i="81" s="1"/>
  <c r="Q24" i="67"/>
  <c r="O24" i="67"/>
  <c r="Z5" i="67"/>
  <c r="X5" i="67"/>
  <c r="Y5" i="67"/>
  <c r="P33" i="65"/>
  <c r="O27" i="63"/>
  <c r="O9" i="67"/>
  <c r="Q9" i="67"/>
  <c r="P9" i="67"/>
  <c r="Z3" i="63"/>
  <c r="Y3" i="63"/>
  <c r="X3" i="63"/>
  <c r="K45" i="65"/>
  <c r="H152" i="81" s="1"/>
  <c r="O26" i="65"/>
  <c r="Q26" i="65"/>
  <c r="P27" i="65"/>
  <c r="O29" i="63"/>
  <c r="O13" i="67"/>
  <c r="P13" i="67"/>
  <c r="Q13" i="67"/>
  <c r="O4" i="65"/>
  <c r="O8" i="63"/>
  <c r="L41" i="65"/>
  <c r="I148" i="81" s="1"/>
  <c r="AH148" i="81" s="1"/>
  <c r="L34" i="65"/>
  <c r="P6" i="65"/>
  <c r="O29" i="67"/>
  <c r="Q11" i="65"/>
  <c r="O11" i="65"/>
  <c r="P11" i="65"/>
  <c r="F18" i="67"/>
  <c r="Y6" i="67"/>
  <c r="X6" i="67"/>
  <c r="Z6" i="67"/>
  <c r="X3" i="65"/>
  <c r="Y3" i="65"/>
  <c r="Z3" i="65"/>
  <c r="T15" i="65"/>
  <c r="H107" i="81" s="1"/>
  <c r="K45" i="63"/>
  <c r="B152" i="81" s="1"/>
  <c r="Q26" i="63"/>
  <c r="O26" i="63"/>
  <c r="O23" i="65"/>
  <c r="P27" i="63"/>
  <c r="Z11" i="65"/>
  <c r="Q10" i="63"/>
  <c r="P10" i="63"/>
  <c r="Z10" i="67"/>
  <c r="Y4" i="67"/>
  <c r="Z14" i="63"/>
  <c r="L34" i="67"/>
  <c r="Z14" i="67"/>
  <c r="Y14" i="67"/>
  <c r="X14" i="67"/>
  <c r="X8" i="67"/>
  <c r="Y8" i="67"/>
  <c r="Z8" i="67"/>
  <c r="Q5" i="67"/>
  <c r="O5" i="67"/>
  <c r="P5" i="67"/>
  <c r="Q33" i="65"/>
  <c r="Y8" i="65"/>
  <c r="Y8" i="63"/>
  <c r="O3" i="63"/>
  <c r="K15" i="63"/>
  <c r="Q3" i="63"/>
  <c r="P3" i="63"/>
  <c r="Q7" i="65"/>
  <c r="O7" i="65"/>
  <c r="P7" i="65"/>
  <c r="U15" i="67"/>
  <c r="O107" i="81" s="1"/>
  <c r="L15" i="63"/>
  <c r="Q27" i="65"/>
  <c r="Q32" i="67"/>
  <c r="K51" i="67"/>
  <c r="N158" i="81" s="1"/>
  <c r="AG158" i="81" s="1"/>
  <c r="O32" i="67"/>
  <c r="P32" i="67"/>
  <c r="L15" i="65"/>
  <c r="Q22" i="65"/>
  <c r="K44" i="67"/>
  <c r="N151" i="81" s="1"/>
  <c r="Q25" i="67"/>
  <c r="P25" i="67"/>
  <c r="K41" i="65"/>
  <c r="H148" i="81" s="1"/>
  <c r="K34" i="65"/>
  <c r="P22" i="65"/>
  <c r="O22" i="65"/>
  <c r="Q9" i="63"/>
  <c r="O9" i="63"/>
  <c r="P9" i="63"/>
  <c r="N53" i="69"/>
  <c r="AO147" i="81" s="1"/>
  <c r="Z7" i="63"/>
  <c r="X7" i="63"/>
  <c r="Y7" i="63"/>
  <c r="P6" i="63"/>
  <c r="O6" i="63"/>
  <c r="Q6" i="63"/>
  <c r="K44" i="63"/>
  <c r="B151" i="81" s="1"/>
  <c r="AG151" i="81" s="1"/>
  <c r="P25" i="63"/>
  <c r="Q25" i="63"/>
  <c r="O25" i="63"/>
  <c r="P23" i="65"/>
  <c r="Q27" i="63"/>
  <c r="K48" i="63"/>
  <c r="B155" i="81" s="1"/>
  <c r="AG155" i="81" s="1"/>
  <c r="P29" i="63"/>
  <c r="Q29" i="63"/>
  <c r="AJ160" i="81" l="1"/>
  <c r="AG148" i="81"/>
  <c r="B192" i="81"/>
  <c r="AG152" i="81"/>
  <c r="AG154" i="81"/>
  <c r="AR147" i="81"/>
  <c r="AD86" i="74"/>
  <c r="AG192" i="81"/>
  <c r="AL191" i="81" s="1"/>
  <c r="AC53" i="74"/>
  <c r="AH160" i="81"/>
  <c r="L53" i="65"/>
  <c r="I160" i="81" s="1"/>
  <c r="K53" i="65"/>
  <c r="H160" i="81" s="1"/>
  <c r="K53" i="67"/>
  <c r="N160" i="81" s="1"/>
  <c r="K53" i="63"/>
  <c r="B160" i="81" s="1"/>
  <c r="AG160" i="81" l="1"/>
</calcChain>
</file>

<file path=xl/comments1.xml><?xml version="1.0" encoding="utf-8"?>
<comments xmlns="http://schemas.openxmlformats.org/spreadsheetml/2006/main">
  <authors>
    <author>Auteur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Avertissement: Pas de donnée capacité SNCM en 2014 et 2015
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Avertissement: Pas de donnée capacité SNCM en 2014 et 2015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Avertissement: Pas de donnée capacité SNCM en 2014 et 2015
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Avertissement: Pas de donnée capacité SNCM en 2014 et 2015</t>
        </r>
      </text>
    </comment>
  </commentList>
</comments>
</file>

<file path=xl/sharedStrings.xml><?xml version="1.0" encoding="utf-8"?>
<sst xmlns="http://schemas.openxmlformats.org/spreadsheetml/2006/main" count="9133" uniqueCount="273">
  <si>
    <t>TOTAL</t>
  </si>
  <si>
    <t>MOYENNE</t>
  </si>
  <si>
    <t>jan</t>
  </si>
  <si>
    <t>fév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</si>
  <si>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</si>
  <si>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</si>
  <si>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</si>
  <si>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</si>
  <si>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</si>
  <si>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</si>
  <si>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</si>
  <si>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</si>
  <si>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</si>
  <si>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déc</t>
  </si>
  <si>
    <t>Source : Observatoire Régional des transports de la Corse</t>
  </si>
  <si>
    <t>Basse saison</t>
  </si>
  <si>
    <t>Haute saison</t>
  </si>
  <si>
    <t>bas</t>
  </si>
  <si>
    <t>haut</t>
  </si>
  <si>
    <t>Nom des navires</t>
  </si>
  <si>
    <t>PAX</t>
  </si>
  <si>
    <t>MEGA EXPRESS 1</t>
  </si>
  <si>
    <t>MEGA EXPRESS 2</t>
  </si>
  <si>
    <t>MEGA EXPRESS 3</t>
  </si>
  <si>
    <t>MEGA EXPRESS 4</t>
  </si>
  <si>
    <t>MEGA EXPRESS 5</t>
  </si>
  <si>
    <t>MEGA SMERALDA</t>
  </si>
  <si>
    <t>SARDINA VERA</t>
  </si>
  <si>
    <t>SARDINIA EXPRESS</t>
  </si>
  <si>
    <t>PIANA</t>
  </si>
  <si>
    <t>MEGA ANDREA</t>
  </si>
  <si>
    <t>CORSICA MARINA II</t>
  </si>
  <si>
    <t>CORSICA VICTORIA</t>
  </si>
  <si>
    <t>MEGA PASCAL LOTA</t>
  </si>
  <si>
    <t>MONTE D'ORO</t>
  </si>
  <si>
    <t>ROLL (ML)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</si>
  <si>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</si>
  <si>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</si>
  <si>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</si>
  <si>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</si>
  <si>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</si>
  <si>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</si>
  <si>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</si>
  <si>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</si>
  <si>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</si>
  <si>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</si>
  <si>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</si>
  <si>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</si>
  <si>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</si>
  <si>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</si>
  <si>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</si>
  <si>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</si>
  <si>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</si>
  <si>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</si>
  <si>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</si>
  <si>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</si>
  <si>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</si>
  <si>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</si>
  <si>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</si>
  <si>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</si>
  <si>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SOMME</t>
  </si>
  <si>
    <t>PROVENANCE Nombres de traversées</t>
  </si>
  <si>
    <t>PROVENANCE PAX</t>
  </si>
  <si>
    <t>DESTINATION Nombre de traversées</t>
  </si>
  <si>
    <t>DESTINATION PAX</t>
  </si>
  <si>
    <t xml:space="preserve">MEGA </t>
  </si>
  <si>
    <t>MEGA</t>
  </si>
  <si>
    <t>CAPACITE PAX  AJACCIO TOULON</t>
  </si>
  <si>
    <t>CAPACITE PAX BASTIA TOULON</t>
  </si>
  <si>
    <t>CAPACITE PAX LIGNES PORTO VECCHIO TOULON</t>
  </si>
  <si>
    <t>CAPACITE PAX PROPRIANO TOULON</t>
  </si>
  <si>
    <t>CAPACITE PAX  ILE ROUSSE TOULON</t>
  </si>
  <si>
    <t>Source :  Capitainerie Port de Toulon</t>
  </si>
  <si>
    <t>CAPACITE ROLL  AJACCIO TOULON</t>
  </si>
  <si>
    <t>MAX</t>
  </si>
  <si>
    <t>MIN</t>
  </si>
  <si>
    <t>CAPACITE ROLL  ILE ROUSSE TOULON</t>
  </si>
  <si>
    <t>CAPACITE  ROLL BASTIA TOULON</t>
  </si>
  <si>
    <t>PAX REALISE TOULON + MARSEILLE</t>
  </si>
  <si>
    <t>ROLL REALISE TOULON + MARSEILLE</t>
  </si>
  <si>
    <t>PAX REALISE PRORIANO MARSEILLE</t>
  </si>
  <si>
    <t>ROLL REALISE PROPRIANO MARSEILLE</t>
  </si>
  <si>
    <t>PAX REALISE AJACCIO TOULON</t>
  </si>
  <si>
    <t>PAX REALISE AJACCIO MARSEILLE</t>
  </si>
  <si>
    <t>ROLL REALISE AJACCIO TOULON</t>
  </si>
  <si>
    <t>ROLL REALISE AJACCIO MARSEILLE</t>
  </si>
  <si>
    <t>PAX REALISE BASTIA TOULON</t>
  </si>
  <si>
    <t>PAX REALISE BASTIA MARSEILLE</t>
  </si>
  <si>
    <t>PAX REALISE  TOULON + MARSEILLE</t>
  </si>
  <si>
    <t>ROLL REALISE BASTIA TOULON</t>
  </si>
  <si>
    <t>PAX REALISE ILE ROUSSE TOULON</t>
  </si>
  <si>
    <t>ROLL REALISE ILE ROUSSE TOULON</t>
  </si>
  <si>
    <t>ROLL REALISE  ILE ROUSSE MARSEILLE</t>
  </si>
  <si>
    <t>PAX REALISE PORTO VECCHIO TOULON</t>
  </si>
  <si>
    <t>PAX REALISE PORTO VECCHIO MARSEILLE</t>
  </si>
  <si>
    <t>ROLL REALISE PORTO VECCHIO TOULON</t>
  </si>
  <si>
    <t>ROLL REALISE PORTO VECCHIO MARSEILLE</t>
  </si>
  <si>
    <t>TAUX DE REMPLISSAGE SI TOULON + MARSEILLE</t>
  </si>
  <si>
    <t>Mois</t>
  </si>
  <si>
    <t>Nombre de semaine</t>
  </si>
  <si>
    <t>Nombre traversée/semaine</t>
  </si>
  <si>
    <t>Somme</t>
  </si>
  <si>
    <t>Source : Capitainerie Port Toulon</t>
  </si>
  <si>
    <t>Nombre de rotations (aller-retour) par semaine selon mois pour 2016 à 2017</t>
  </si>
  <si>
    <t>Nombre de rotations (aller-retour) par semaine selon mois pour 2014 à 2017</t>
  </si>
  <si>
    <t>Nombre de rotations par semaine selon mois pour 2014 à 2017</t>
  </si>
  <si>
    <t>CAPACITE ROLL PROPRIANO TOULON</t>
  </si>
  <si>
    <t>ROLL REALISE PROPRIANO TOULON</t>
  </si>
  <si>
    <t>PAX REALISE PROPRIANO TOULON</t>
  </si>
  <si>
    <t>TRAFICS VEHICULES TOURSIME  BASTIA TOULON (ML)</t>
  </si>
  <si>
    <t>TRAFICS VEHICULES TOURSIME  BASTIA MARSEILLE (ML)</t>
  </si>
  <si>
    <t>TRAFICS VEHICULES TOURSIME  ILE-ROUSSE TOULON (ML)</t>
  </si>
  <si>
    <t>TRAFICS VEHICULES TOURSIME PORTO-VECCHIO TOULON (ML)</t>
  </si>
  <si>
    <t>TRAFICS VEHICULES TOURSIME  PORTO VECCHIO MARSEILLE (ML)</t>
  </si>
  <si>
    <t>TRAFICS VEHICULES TOURSIME  PROPRIANO MARSEILLE (ML)</t>
  </si>
  <si>
    <t>TRAFICS VEHICULES TOURSIME PROPRIANO TOULON (ML)</t>
  </si>
  <si>
    <t>ROLL + VEHICULES DE TOURISME REALISE AJACCIO TOULON</t>
  </si>
  <si>
    <t>ROLL + VEHICULES DE TOURISME REALISE TOULON + MARSEILLE</t>
  </si>
  <si>
    <t>ROLL REALISE BASTIA MARSEILLE</t>
  </si>
  <si>
    <t>PAX REALISE AJACCIO NICE</t>
  </si>
  <si>
    <t>PAX REALISE BASTIA NICE</t>
  </si>
  <si>
    <t>PAX REALISE ILE ROUSSE NICE</t>
  </si>
  <si>
    <t>PAX REALISE PORTO VECCHIO NICE</t>
  </si>
  <si>
    <t>PAX REALISE TOULON + MARSEILLE+ NICE</t>
  </si>
  <si>
    <t>TAUX DE REMPLISSAGE THEORIQUE</t>
  </si>
  <si>
    <t>TAUX DE REMPLISSAGE THEORIQUE ROLL</t>
  </si>
  <si>
    <t>SOLDE OFFRE CAPACITAIRE (TOULON+NICE) - REALISE (TOULON + MARSEILLE+NICE)</t>
  </si>
  <si>
    <t>CAPACITE PAX PORTO VECCHIO NICE</t>
  </si>
  <si>
    <t>CAPACITE PAX ILE ROUSSE NICE</t>
  </si>
  <si>
    <t>CAPACITE PAX BASTIA NICE</t>
  </si>
  <si>
    <t>CAPACITE PAX AJACCIO NICE</t>
  </si>
  <si>
    <t>SOLDE (OFFRE CAPACITAIRE TOULON) - (REALISE TOULON + MARSEILLE)</t>
  </si>
  <si>
    <t>Source : CCI Nice</t>
  </si>
  <si>
    <t>Taux d'ouverture cabine hors-saison</t>
  </si>
  <si>
    <t>COEF ML/VOITURE</t>
  </si>
  <si>
    <t>Passagers</t>
  </si>
  <si>
    <t>ML</t>
  </si>
  <si>
    <t>TRAFIC REALISE VEHICULES TOURSIME  BASTIA NICE (ML)</t>
  </si>
  <si>
    <t>TRAFIC REALISE VEHICULES TOURSIME  ILE-ROUSSE NICE (ML)</t>
  </si>
  <si>
    <t>Jours 1</t>
  </si>
  <si>
    <t>Jours 2</t>
  </si>
  <si>
    <t>Jours 3</t>
  </si>
  <si>
    <t>Jours 4</t>
  </si>
  <si>
    <t>Jours 5</t>
  </si>
  <si>
    <t>Jours 6</t>
  </si>
  <si>
    <t>Jours 7</t>
  </si>
  <si>
    <t>Dimanche</t>
  </si>
  <si>
    <t>Lundi</t>
  </si>
  <si>
    <t>Mardi</t>
  </si>
  <si>
    <t>Mercredi</t>
  </si>
  <si>
    <t>Jeudi</t>
  </si>
  <si>
    <t>Vendredi</t>
  </si>
  <si>
    <t>Samedi</t>
  </si>
  <si>
    <t xml:space="preserve"> ROLL + VEHICULES DE TOURISME REALISE PROPRIANO TOULON</t>
  </si>
  <si>
    <t>Dernière semaine de juillet du lundi 24 au dimanche 30 juillet 2017</t>
  </si>
  <si>
    <t>Première semaine de février du lundi 6 audimanche 12 février 2017</t>
  </si>
  <si>
    <t>Ajaccio</t>
  </si>
  <si>
    <t>Bastia</t>
  </si>
  <si>
    <t>Propriano</t>
  </si>
  <si>
    <t>PROVENANCE FRET (ML)</t>
  </si>
  <si>
    <t>DESTINATION FRET (ML)</t>
  </si>
  <si>
    <t xml:space="preserve">Taux configuration des garages </t>
  </si>
  <si>
    <t>VL</t>
  </si>
  <si>
    <t>Saison</t>
  </si>
  <si>
    <t>Fret</t>
  </si>
  <si>
    <t>PROVENANCE VL (ML)</t>
  </si>
  <si>
    <t>DESTINATION VL (ML)</t>
  </si>
  <si>
    <t>CAPACITE VL  AJACCIO TOULON</t>
  </si>
  <si>
    <t>TRAFIC REALISE VL  AJACCIO TOULON (ML)</t>
  </si>
  <si>
    <t>ROLL + VEHICULES DE TOURISME REALISE TOULON + MARSEILLE+NICE</t>
  </si>
  <si>
    <t>SOLDE OFFRE CAPACITAIRE GARAGE (TOULON+NICE) - (REALISE TOULON + MARSEILLE+NICE)</t>
  </si>
  <si>
    <t>VL REALISE AJACCIO TOULON + MARSEILLE+NICE</t>
  </si>
  <si>
    <t>SOLDE OFFRE CAPACITAIRE VL (TOULON+NICE) - (REALISE TOULON + MARSEILLE+NICE)</t>
  </si>
  <si>
    <t>ROLL REALISE AJACCIO TOULON + MARSEILLE+NICE</t>
  </si>
  <si>
    <t>SOLDE OFFRE CAPACITAIRE ROLL (TOULON+NICE) - (REALISE TOULON + MARSEILLE+NICE)</t>
  </si>
  <si>
    <t>TRAFIC REALISE VL  AJACCIO TOULON (Vehicules)</t>
  </si>
  <si>
    <t>TRAFIC REALISE VEHICULES TOURSIME  AJACCIO NICE  (Vehicules)</t>
  </si>
  <si>
    <t>TRAFICS VEHICULES TOURSIME  AJACCIO MARSEILLE  (Vehicules)</t>
  </si>
  <si>
    <t>TRAFIC REALISE VEHICULES TOURSIME  AJACCIO MARSEILLE  (ML)</t>
  </si>
  <si>
    <t>TRAFIC REALISE VL  BASTIA TOULON (Vehicules)</t>
  </si>
  <si>
    <t>CAPACITE VL  BASTIA TOULON</t>
  </si>
  <si>
    <t>ROLL + VEHICULES DE TOURISME REALISE BASTIA TOULON</t>
  </si>
  <si>
    <t>TAUX DE REMPLISSAGE ROLL THEORIQUE BASTIA NICE</t>
  </si>
  <si>
    <t>TAUX DE REMPLISSAGE THEORIQUE   VL BASTIA-NICE</t>
  </si>
  <si>
    <t>TAUX DE REMPLISSAGE THEORIQUE  AJACCIO-NICE VL</t>
  </si>
  <si>
    <t>ROLL + VL REALISE TOULON + MARSEILLE+NICE</t>
  </si>
  <si>
    <t>BESOIN SERVICE PUBLIC GARAGE TOULON+NICE - BASTIA (2014-2017)</t>
  </si>
  <si>
    <t>CAPACITE VL  ILE ROUSSE TOULON</t>
  </si>
  <si>
    <t>TRAFIC REALISE VEHICULES TOURSIME  ILE ROUSSE NICE  (Vehicules)</t>
  </si>
  <si>
    <t>TRAFIC REALISE VEHICULES TOURSIME  BASTIA NICE  (Vehicules)</t>
  </si>
  <si>
    <t>TRAFIC REALISE VL  ILE ROUSSE TOULON (Vehicules)</t>
  </si>
  <si>
    <t>CAPACITE VL ILE ROUSSE NICE (ML)</t>
  </si>
  <si>
    <t>CAPACITE VL BASTIA NICE (VEHICULES)</t>
  </si>
  <si>
    <t>CAPACITE VL AJACIO NICE (VEHICULE)</t>
  </si>
  <si>
    <t>CAPACITE VL ILE ROUSSE NICE (en nombre de voiture)</t>
  </si>
  <si>
    <t>TRAFICS VL ILE ROUSSE MARSEILLE  (Vehicules)</t>
  </si>
  <si>
    <t>VL REALISE BASTIA TOULON + MARSEILLE+NICE</t>
  </si>
  <si>
    <t>ROLL REALISE BASTIA TOULON + MARSEILLE+NICE</t>
  </si>
  <si>
    <t>TRAFICS VL  BASTIA MARSEILLE  (Vehicules)</t>
  </si>
  <si>
    <t>TRAFIC REALISE VL ILE-ROUSSE MARSEILLE (ML)</t>
  </si>
  <si>
    <t>ROLL REALISE ILE ROUSSE MARSEILLE</t>
  </si>
  <si>
    <t>ROLL REALISE ILE ROUSSE TOULON + MARSEILLE+NICE</t>
  </si>
  <si>
    <t>TAUX DE REMPLISSAGE THEORIQUE   VL ILE ROUSSE-NICE</t>
  </si>
  <si>
    <t>TAUX DE REMPLISSAGE ROLL THEORIQUE ILE ROUSSE NICE</t>
  </si>
  <si>
    <t>ROLL + VEHICULES DE TOURISME REALISE ILE ROUSSE TOULON</t>
  </si>
  <si>
    <t>TRAFIC REALISE VL  PORTO VECCHIO TOULON (Vehicules)</t>
  </si>
  <si>
    <t>CAPACITE VL  PORTO VECCHIO TOULON</t>
  </si>
  <si>
    <t>TRAFIC REALISE VL PORTO VECCHIO NICE (ML)</t>
  </si>
  <si>
    <t>TRAFIC REALISE VEHICULES TOURSIME  PORTO VECCHIO NICE  (Vehicules)</t>
  </si>
  <si>
    <t>ROLL REALISE PORTO VECCHIO TOULON + MARSEILLE+NICE</t>
  </si>
  <si>
    <t>VL REALISE PORTO VECCHIO TOULON + MARSEILLE+NICE</t>
  </si>
  <si>
    <t>VL REALISE ILE ROUSSE TOULON + MARSEILLE+NICE</t>
  </si>
  <si>
    <t>TRAFICS VL PORTO VECCHIO MARSEILLE  (Vehicules)</t>
  </si>
  <si>
    <t>BESOIN SERVICE PUBLIC VL TOULON+NICE - PORTO VECCHIO (2014-2017)</t>
  </si>
  <si>
    <t>BESOIN SERVICE PUBLIC GARAGE TOULON+NICE - PORTO VECCHIO (2014-2017)</t>
  </si>
  <si>
    <t>ROLL + VEHICULES DE TOURISME REALISE PORTO VECCHIO TOULON</t>
  </si>
  <si>
    <t>TAUX DE REMPLISSAGE THEORIQUE   VL PORTO VECCHIO-NICE</t>
  </si>
  <si>
    <t>TAUX DE REMPLISSAGE ROLL THEORIQUE PORTO VECCHIO NICE</t>
  </si>
  <si>
    <t>CAPACITE VL PORTO VECCHIO NICE (ML)</t>
  </si>
  <si>
    <t>CAPACITE VL PORTO VECCHIO NICE (en nombre de voiture)</t>
  </si>
  <si>
    <t>CAPACITE VL BASTIA NICE VL (ML)</t>
  </si>
  <si>
    <t>Hors-Saison</t>
  </si>
  <si>
    <t>CAPACITE ROLL  PORTO VECCHIO TOULON</t>
  </si>
  <si>
    <t>TRAFIC REALISE VL  AJACCIO NICE  (ML)</t>
  </si>
  <si>
    <t>OFFRE CAPACITAIRE</t>
  </si>
  <si>
    <t>AJACCIO</t>
  </si>
  <si>
    <t>BASTIA</t>
  </si>
  <si>
    <t>CAPACITE VL AJACIO NICE (ML)</t>
  </si>
  <si>
    <t>ILE ROUSSE</t>
  </si>
  <si>
    <t>PORTO VECCHIO</t>
  </si>
  <si>
    <t>PROPRIANO</t>
  </si>
  <si>
    <t>TAUX DE REMPLISSAGE</t>
  </si>
  <si>
    <t>BESOIN DE SERVICE PUBLIC</t>
  </si>
  <si>
    <t>TOTAL CORSE</t>
  </si>
  <si>
    <t xml:space="preserve">TOTAL </t>
  </si>
  <si>
    <t>GARAGE</t>
  </si>
  <si>
    <t xml:space="preserve">BESOIN SERVICE PUBLIC ROLL TOTAL CORSE </t>
  </si>
  <si>
    <t>BESOIN SERVICE PUBLIC VL TOTAL CORSE</t>
  </si>
  <si>
    <t>BESOIN SERVICE PUBLIC PAX TOTAL CORSE</t>
  </si>
  <si>
    <t xml:space="preserve">BESOIN SERVICE PUBLIC PAX AJACCIO </t>
  </si>
  <si>
    <t>BESOIN SERVICE PUBLIC GARAGE AJACIO (2014-2017)</t>
  </si>
  <si>
    <t>BESOIN SERVICE PUBLIC VL  AJACIO</t>
  </si>
  <si>
    <t xml:space="preserve">BESOIN SERVICE PUBLIC ROLL AJACIO </t>
  </si>
  <si>
    <t xml:space="preserve">BESOIN SERVICE PUBLIC PAX BASTIA </t>
  </si>
  <si>
    <t xml:space="preserve">BESOIN SERVICE PUBLIC ROLL BASTIA </t>
  </si>
  <si>
    <t>BESOIN SERVICE PUBLIC VL BASTIA</t>
  </si>
  <si>
    <t xml:space="preserve">BESOIN SERVICE PUBLIC PAX ILE ROUSSE </t>
  </si>
  <si>
    <t>BESOIN SERVICE PUBLIC ROLL ILE ROUSSE</t>
  </si>
  <si>
    <t>BESOIN SERVICE PUBLIC VL ILE ROUSSE</t>
  </si>
  <si>
    <t xml:space="preserve">BESOIN SERVICE PUBLIC GARAGE ILE ROUSSE </t>
  </si>
  <si>
    <t>BESOIN SERVICE PUBLIC PAX PORTO-VECCHIO</t>
  </si>
  <si>
    <t xml:space="preserve">BESOIN SERVICE PUBLIC ROLL PORTO VECCHIO </t>
  </si>
  <si>
    <t>BESOIN SERVICE PUBLIC PAX  PROPRIANO</t>
  </si>
  <si>
    <t xml:space="preserve">BESOIN SERVICE PUBLIC ROLL PROPRIANO </t>
  </si>
  <si>
    <t>TAUX DE REMPLISSAGE PAX AJACCIO (TOULON + MARSEILLE + NICE)/ (TOULON+NICE)</t>
  </si>
  <si>
    <t>TAUX DE REMPLISSAGE ROLL AJACCIO (TOULON + MARSEILLE+NICE)/(TOULON+NICE)</t>
  </si>
  <si>
    <t>TAUX DE REMPLISSAGE VL AJACCIO (TOULON + MARSEILLE+NICE)/(TOULON+NICE)</t>
  </si>
  <si>
    <t>TAUX DE REMPLISSAGE PAX BASTIA (TOULON + MARSEILLE+NICE)/(TOULON+NICE)</t>
  </si>
  <si>
    <t>TAUX DE REMPLISSAGE VL BASTIA (TOULON + MARSEILLE+NICE)/(TOULON+NICE)</t>
  </si>
  <si>
    <t>TAUX DE REMPLISSAGE ROLL BASTIA (TOULON + MARSEILLE+NICE)/(TOULON+NICE)</t>
  </si>
  <si>
    <t>TAUX DE REMPLISSAGE  PAX ILE ROUSSE (TOULON + MARSEILLE+NICE)/(TOULON+NICE)</t>
  </si>
  <si>
    <t>TAUX DE REMPLISSAGE VL ILE ROUSSE (TOULON + MARSEILLE+NICE)/(TOULON+NICE)</t>
  </si>
  <si>
    <t>TAUX DE REMPLISSAGE  ILE ROUSSE ROLL (TOULON + MARSEILLE+NICE)/(TOULON+NICE)</t>
  </si>
  <si>
    <t>TAUX DE REMPLISSAGE PAX  PORTO VECCHIO (TOULON + MARSEILLE+NICE)/(TOULON+NICE)</t>
  </si>
  <si>
    <t>TAUX DE REMPLISSAGE ROLL PORTO VECCHIO (TOULON + MARSEILLE+NICE)/(TOULON+NICE)</t>
  </si>
  <si>
    <t>TAUX DE REMPLISSAGE VL PORTO VECCHIO (TOULON + MARSEILLE+NICE)/(TOULON+NICE)</t>
  </si>
  <si>
    <t>TAUX CAPACITE REMPLISSAGE</t>
  </si>
  <si>
    <t>Porto Vecchio</t>
  </si>
  <si>
    <t>Ile Rousse</t>
  </si>
  <si>
    <t>Total</t>
  </si>
  <si>
    <t>ROLL</t>
  </si>
  <si>
    <t>Hypothèse 80%</t>
  </si>
  <si>
    <t xml:space="preserve">BESOIN SERVICE PUBLIC VL PROPRIANO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</si>
</sst>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\ _€"/>
    <numFmt numFmtId="165" formatCode="0.0"/>
    <numFmt numFmtId="166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218"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" xfId="0" applyBorder="1"/>
    <xf numFmtId="0" fontId="0" fillId="0" borderId="4" xfId="0" applyBorder="1"/>
    <xf numFmtId="9" fontId="0" fillId="0" borderId="0" xfId="2" applyFont="1"/>
    <xf numFmtId="0" fontId="0" fillId="0" borderId="9" xfId="0" applyBorder="1"/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Fill="1" applyBorder="1"/>
    <xf numFmtId="165" fontId="0" fillId="0" borderId="0" xfId="0" applyNumberFormat="1"/>
    <xf numFmtId="3" fontId="0" fillId="0" borderId="4" xfId="0" applyNumberFormat="1" applyBorder="1"/>
    <xf numFmtId="0" fontId="3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3" fontId="0" fillId="0" borderId="4" xfId="0" applyNumberFormat="1" applyFill="1" applyBorder="1"/>
    <xf numFmtId="3" fontId="4" fillId="0" borderId="4" xfId="0" applyNumberFormat="1" applyFont="1" applyBorder="1" applyAlignment="1">
      <alignment horizontal="right"/>
    </xf>
    <xf numFmtId="0" fontId="6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2" borderId="4" xfId="0" applyFill="1" applyBorder="1"/>
    <xf numFmtId="0" fontId="0" fillId="2" borderId="0" xfId="0" applyFill="1"/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0" fillId="0" borderId="12" xfId="0" applyBorder="1"/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vertical="top" wrapText="1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9" fontId="0" fillId="0" borderId="2" xfId="2" applyFont="1" applyFill="1" applyBorder="1"/>
    <xf numFmtId="3" fontId="0" fillId="0" borderId="4" xfId="0" quotePrefix="1" applyNumberFormat="1" applyBorder="1"/>
    <xf numFmtId="3" fontId="0" fillId="0" borderId="15" xfId="0" applyNumberFormat="1" applyFill="1" applyBorder="1"/>
    <xf numFmtId="3" fontId="4" fillId="0" borderId="15" xfId="0" applyNumberFormat="1" applyFont="1" applyFill="1" applyBorder="1" applyAlignment="1">
      <alignment horizontal="right"/>
    </xf>
    <xf numFmtId="10" fontId="0" fillId="0" borderId="0" xfId="0" applyNumberFormat="1"/>
    <xf numFmtId="3" fontId="4" fillId="0" borderId="5" xfId="0" applyNumberFormat="1" applyFont="1" applyBorder="1" applyAlignment="1">
      <alignment horizontal="right"/>
    </xf>
    <xf numFmtId="0" fontId="0" fillId="0" borderId="0" xfId="0"/>
    <xf numFmtId="0" fontId="0" fillId="0" borderId="4" xfId="0" applyBorder="1"/>
    <xf numFmtId="0" fontId="0" fillId="0" borderId="9" xfId="0" applyBorder="1"/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4" xfId="0" applyNumberFormat="1" applyBorder="1"/>
    <xf numFmtId="0" fontId="3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" fontId="0" fillId="0" borderId="4" xfId="0" applyNumberFormat="1" applyFill="1" applyBorder="1"/>
    <xf numFmtId="3" fontId="4" fillId="0" borderId="4" xfId="0" applyNumberFormat="1" applyFont="1" applyBorder="1" applyAlignment="1">
      <alignment horizontal="right"/>
    </xf>
    <xf numFmtId="9" fontId="0" fillId="0" borderId="11" xfId="2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/>
    </xf>
    <xf numFmtId="0" fontId="0" fillId="0" borderId="0" xfId="0"/>
    <xf numFmtId="164" fontId="0" fillId="0" borderId="0" xfId="0" applyNumberFormat="1"/>
    <xf numFmtId="3" fontId="0" fillId="0" borderId="4" xfId="0" applyNumberFormat="1" applyBorder="1"/>
    <xf numFmtId="9" fontId="0" fillId="0" borderId="15" xfId="2" applyFont="1" applyFill="1" applyBorder="1"/>
    <xf numFmtId="3" fontId="4" fillId="0" borderId="1" xfId="0" applyNumberFormat="1" applyFont="1" applyBorder="1" applyAlignment="1">
      <alignment horizontal="right"/>
    </xf>
    <xf numFmtId="0" fontId="0" fillId="0" borderId="0" xfId="0"/>
    <xf numFmtId="0" fontId="0" fillId="0" borderId="4" xfId="0" applyBorder="1"/>
    <xf numFmtId="0" fontId="0" fillId="0" borderId="9" xfId="0" applyBorder="1"/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" fontId="0" fillId="0" borderId="2" xfId="0" applyNumberFormat="1" applyFill="1" applyBorder="1"/>
    <xf numFmtId="0" fontId="0" fillId="0" borderId="0" xfId="0"/>
    <xf numFmtId="0" fontId="0" fillId="0" borderId="0" xfId="0"/>
    <xf numFmtId="3" fontId="0" fillId="0" borderId="4" xfId="0" applyNumberFormat="1" applyBorder="1"/>
    <xf numFmtId="3" fontId="0" fillId="0" borderId="5" xfId="0" applyNumberFormat="1" applyBorder="1"/>
    <xf numFmtId="1" fontId="0" fillId="0" borderId="0" xfId="0" applyNumberFormat="1"/>
    <xf numFmtId="3" fontId="0" fillId="0" borderId="1" xfId="0" applyNumberFormat="1" applyFill="1" applyBorder="1"/>
    <xf numFmtId="3" fontId="0" fillId="0" borderId="1" xfId="0" applyNumberFormat="1" applyBorder="1"/>
    <xf numFmtId="0" fontId="10" fillId="0" borderId="0" xfId="0" applyFont="1"/>
    <xf numFmtId="0" fontId="0" fillId="0" borderId="0" xfId="0" applyAlignment="1">
      <alignment horizontal="right"/>
    </xf>
    <xf numFmtId="0" fontId="7" fillId="0" borderId="16" xfId="1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3" fontId="0" fillId="2" borderId="5" xfId="0" applyNumberFormat="1" applyFill="1" applyBorder="1"/>
    <xf numFmtId="1" fontId="0" fillId="0" borderId="2" xfId="2" applyNumberFormat="1" applyFont="1" applyFill="1" applyBorder="1"/>
    <xf numFmtId="1" fontId="0" fillId="0" borderId="11" xfId="2" applyNumberFormat="1" applyFont="1" applyBorder="1" applyAlignment="1">
      <alignment horizontal="center" vertical="center"/>
    </xf>
    <xf numFmtId="1" fontId="0" fillId="0" borderId="0" xfId="2" applyNumberFormat="1" applyFont="1"/>
    <xf numFmtId="1" fontId="0" fillId="0" borderId="15" xfId="2" applyNumberFormat="1" applyFont="1" applyFill="1" applyBorder="1"/>
    <xf numFmtId="0" fontId="3" fillId="0" borderId="6" xfId="0" applyNumberFormat="1" applyFon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0" xfId="0" applyNumberFormat="1"/>
    <xf numFmtId="0" fontId="0" fillId="0" borderId="9" xfId="0" applyNumberFormat="1" applyBorder="1"/>
    <xf numFmtId="0" fontId="3" fillId="0" borderId="9" xfId="0" applyNumberFormat="1" applyFont="1" applyBorder="1" applyAlignment="1">
      <alignment horizontal="center" vertical="center"/>
    </xf>
    <xf numFmtId="0" fontId="0" fillId="0" borderId="4" xfId="0" applyNumberFormat="1" applyBorder="1"/>
    <xf numFmtId="0" fontId="0" fillId="0" borderId="11" xfId="0" applyNumberFormat="1" applyBorder="1"/>
    <xf numFmtId="0" fontId="1" fillId="0" borderId="11" xfId="0" applyNumberFormat="1" applyFont="1" applyBorder="1" applyAlignment="1">
      <alignment horizontal="center" vertical="center"/>
    </xf>
    <xf numFmtId="0" fontId="0" fillId="2" borderId="2" xfId="2" applyNumberFormat="1" applyFont="1" applyFill="1" applyBorder="1"/>
    <xf numFmtId="0" fontId="0" fillId="2" borderId="11" xfId="2" applyNumberFormat="1" applyFont="1" applyFill="1" applyBorder="1" applyAlignment="1">
      <alignment horizontal="center" vertical="center"/>
    </xf>
    <xf numFmtId="0" fontId="0" fillId="2" borderId="15" xfId="2" applyNumberFormat="1" applyFont="1" applyFill="1" applyBorder="1"/>
    <xf numFmtId="1" fontId="0" fillId="0" borderId="2" xfId="2" applyNumberFormat="1" applyFont="1" applyFill="1" applyBorder="1" applyAlignment="1">
      <alignment horizontal="left" indent="4"/>
    </xf>
    <xf numFmtId="0" fontId="0" fillId="0" borderId="2" xfId="2" applyNumberFormat="1" applyFont="1" applyFill="1" applyBorder="1" applyAlignment="1">
      <alignment horizontal="left" indent="4"/>
    </xf>
    <xf numFmtId="1" fontId="0" fillId="0" borderId="15" xfId="2" applyNumberFormat="1" applyFont="1" applyFill="1" applyBorder="1" applyAlignment="1">
      <alignment horizontal="left" indent="4"/>
    </xf>
    <xf numFmtId="0" fontId="0" fillId="0" borderId="15" xfId="2" applyNumberFormat="1" applyFont="1" applyFill="1" applyBorder="1" applyAlignment="1">
      <alignment horizontal="left" indent="4"/>
    </xf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18" xfId="0" applyBorder="1"/>
    <xf numFmtId="0" fontId="0" fillId="0" borderId="17" xfId="0" applyBorder="1"/>
    <xf numFmtId="3" fontId="0" fillId="0" borderId="0" xfId="0" applyNumberFormat="1"/>
    <xf numFmtId="3" fontId="0" fillId="0" borderId="15" xfId="0" applyNumberFormat="1" applyBorder="1"/>
    <xf numFmtId="3" fontId="4" fillId="0" borderId="2" xfId="0" applyNumberFormat="1" applyFont="1" applyFill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9" fontId="0" fillId="0" borderId="0" xfId="2" applyFont="1"/>
    <xf numFmtId="9" fontId="0" fillId="0" borderId="0" xfId="0" applyNumberFormat="1"/>
    <xf numFmtId="0" fontId="0" fillId="0" borderId="9" xfId="0" applyBorder="1"/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Fill="1" applyBorder="1"/>
    <xf numFmtId="165" fontId="0" fillId="0" borderId="0" xfId="0" applyNumberFormat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1" fontId="0" fillId="0" borderId="0" xfId="0" applyNumberFormat="1"/>
    <xf numFmtId="0" fontId="0" fillId="0" borderId="10" xfId="0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/>
    <xf numFmtId="0" fontId="3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" fontId="4" fillId="0" borderId="5" xfId="0" applyNumberFormat="1" applyFont="1" applyFill="1" applyBorder="1" applyAlignment="1">
      <alignment horizontal="right"/>
    </xf>
    <xf numFmtId="0" fontId="0" fillId="0" borderId="10" xfId="0" applyBorder="1" applyAlignment="1">
      <alignment horizontal="left" vertical="center"/>
    </xf>
    <xf numFmtId="9" fontId="0" fillId="0" borderId="11" xfId="2" applyFont="1" applyFill="1" applyBorder="1" applyAlignment="1">
      <alignment horizontal="center" vertical="center"/>
    </xf>
    <xf numFmtId="9" fontId="0" fillId="0" borderId="0" xfId="2" applyFont="1" applyFill="1"/>
    <xf numFmtId="0" fontId="3" fillId="0" borderId="9" xfId="0" applyFont="1" applyFill="1" applyBorder="1" applyAlignment="1">
      <alignment horizontal="center" vertical="center"/>
    </xf>
    <xf numFmtId="0" fontId="0" fillId="0" borderId="0" xfId="0" applyFill="1"/>
    <xf numFmtId="0" fontId="3" fillId="0" borderId="6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/>
    <xf numFmtId="0" fontId="0" fillId="0" borderId="0" xfId="0" applyFill="1" applyAlignment="1">
      <alignment vertical="center"/>
    </xf>
    <xf numFmtId="0" fontId="0" fillId="0" borderId="4" xfId="0" applyFill="1" applyBorder="1"/>
    <xf numFmtId="0" fontId="0" fillId="0" borderId="0" xfId="0" applyBorder="1" applyAlignment="1">
      <alignment vertical="center"/>
    </xf>
    <xf numFmtId="0" fontId="0" fillId="0" borderId="16" xfId="0" applyBorder="1"/>
    <xf numFmtId="0" fontId="3" fillId="0" borderId="19" xfId="0" applyFont="1" applyBorder="1" applyAlignment="1">
      <alignment horizontal="center" vertical="center"/>
    </xf>
    <xf numFmtId="0" fontId="0" fillId="0" borderId="15" xfId="0" applyBorder="1"/>
    <xf numFmtId="3" fontId="0" fillId="0" borderId="11" xfId="0" applyNumberFormat="1" applyBorder="1"/>
    <xf numFmtId="3" fontId="4" fillId="0" borderId="1" xfId="0" applyNumberFormat="1" applyFont="1" applyFill="1" applyBorder="1" applyAlignment="1">
      <alignment horizontal="right"/>
    </xf>
    <xf numFmtId="3" fontId="4" fillId="0" borderId="2" xfId="9" applyNumberFormat="1" applyFont="1" applyFill="1" applyBorder="1" applyAlignment="1">
      <alignment horizontal="right"/>
    </xf>
    <xf numFmtId="3" fontId="13" fillId="0" borderId="2" xfId="9" applyNumberFormat="1" applyFill="1" applyBorder="1"/>
    <xf numFmtId="3" fontId="13" fillId="0" borderId="15" xfId="9" applyNumberFormat="1" applyFill="1" applyBorder="1"/>
    <xf numFmtId="3" fontId="13" fillId="0" borderId="1" xfId="9" applyNumberFormat="1" applyFill="1" applyBorder="1"/>
    <xf numFmtId="0" fontId="0" fillId="0" borderId="7" xfId="0" applyFill="1" applyBorder="1" applyAlignment="1">
      <alignment vertical="center"/>
    </xf>
    <xf numFmtId="0" fontId="0" fillId="0" borderId="0" xfId="0" applyFill="1" applyAlignment="1">
      <alignment horizontal="right"/>
    </xf>
    <xf numFmtId="1" fontId="0" fillId="0" borderId="0" xfId="2" applyNumberFormat="1" applyFont="1" applyFill="1"/>
    <xf numFmtId="1" fontId="0" fillId="0" borderId="0" xfId="0" applyNumberFormat="1" applyFill="1"/>
    <xf numFmtId="0" fontId="0" fillId="0" borderId="11" xfId="0" applyFill="1" applyBorder="1"/>
    <xf numFmtId="0" fontId="1" fillId="0" borderId="11" xfId="0" applyFon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0" fontId="1" fillId="0" borderId="1" xfId="0" applyFont="1" applyBorder="1"/>
    <xf numFmtId="0" fontId="1" fillId="0" borderId="20" xfId="0" applyFont="1" applyBorder="1"/>
    <xf numFmtId="0" fontId="0" fillId="0" borderId="21" xfId="0" applyBorder="1"/>
    <xf numFmtId="0" fontId="0" fillId="0" borderId="22" xfId="0" applyBorder="1"/>
    <xf numFmtId="9" fontId="1" fillId="0" borderId="23" xfId="0" applyNumberFormat="1" applyFont="1" applyBorder="1"/>
    <xf numFmtId="0" fontId="0" fillId="0" borderId="24" xfId="0" applyBorder="1"/>
    <xf numFmtId="3" fontId="4" fillId="0" borderId="1" xfId="9" applyNumberFormat="1" applyFont="1" applyFill="1" applyBorder="1"/>
    <xf numFmtId="3" fontId="4" fillId="0" borderId="15" xfId="9" applyNumberFormat="1" applyFont="1" applyFill="1" applyBorder="1"/>
    <xf numFmtId="164" fontId="0" fillId="3" borderId="1" xfId="0" applyNumberFormat="1" applyFill="1" applyBorder="1"/>
    <xf numFmtId="3" fontId="0" fillId="3" borderId="2" xfId="0" applyNumberFormat="1" applyFill="1" applyBorder="1"/>
    <xf numFmtId="0" fontId="16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/>
    <xf numFmtId="1" fontId="0" fillId="2" borderId="1" xfId="0" applyNumberFormat="1" applyFill="1" applyBorder="1" applyAlignment="1">
      <alignment horizontal="center"/>
    </xf>
    <xf numFmtId="3" fontId="4" fillId="0" borderId="2" xfId="5" applyNumberFormat="1" applyFill="1" applyBorder="1"/>
    <xf numFmtId="3" fontId="4" fillId="0" borderId="5" xfId="5" applyNumberFormat="1" applyFill="1" applyBorder="1"/>
    <xf numFmtId="3" fontId="4" fillId="0" borderId="5" xfId="5" applyNumberFormat="1" applyFill="1" applyBorder="1"/>
    <xf numFmtId="3" fontId="4" fillId="0" borderId="5" xfId="5" applyNumberFormat="1" applyFill="1" applyBorder="1"/>
    <xf numFmtId="3" fontId="4" fillId="0" borderId="5" xfId="5" applyNumberFormat="1" applyFont="1" applyFill="1" applyBorder="1" applyAlignment="1">
      <alignment horizontal="right"/>
    </xf>
    <xf numFmtId="3" fontId="4" fillId="0" borderId="1" xfId="5" applyNumberFormat="1" applyFill="1" applyBorder="1"/>
    <xf numFmtId="0" fontId="0" fillId="0" borderId="5" xfId="0" applyBorder="1"/>
    <xf numFmtId="0" fontId="1" fillId="0" borderId="12" xfId="0" applyFont="1" applyBorder="1"/>
    <xf numFmtId="0" fontId="0" fillId="0" borderId="26" xfId="0" applyBorder="1"/>
    <xf numFmtId="0" fontId="0" fillId="0" borderId="25" xfId="0" applyBorder="1"/>
    <xf numFmtId="0" fontId="1" fillId="0" borderId="26" xfId="0" applyFont="1" applyBorder="1"/>
    <xf numFmtId="0" fontId="1" fillId="0" borderId="25" xfId="0" applyFont="1" applyBorder="1"/>
    <xf numFmtId="0" fontId="1" fillId="0" borderId="2" xfId="0" applyFont="1" applyBorder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0" borderId="1" xfId="0" applyNumberFormat="1" applyFont="1" applyBorder="1"/>
    <xf numFmtId="9" fontId="0" fillId="0" borderId="5" xfId="0" applyNumberFormat="1" applyBorder="1"/>
    <xf numFmtId="0" fontId="1" fillId="0" borderId="5" xfId="0" applyNumberFormat="1" applyFont="1" applyBorder="1"/>
    <xf numFmtId="9" fontId="1" fillId="0" borderId="12" xfId="0" applyNumberFormat="1" applyFont="1" applyBorder="1"/>
    <xf numFmtId="166" fontId="0" fillId="0" borderId="1" xfId="3" applyNumberFormat="1" applyFont="1" applyBorder="1"/>
    <xf numFmtId="166" fontId="1" fillId="0" borderId="1" xfId="3" applyNumberFormat="1" applyFont="1" applyBorder="1"/>
    <xf numFmtId="166" fontId="18" fillId="0" borderId="1" xfId="3" applyNumberFormat="1" applyFont="1" applyBorder="1"/>
    <xf numFmtId="0" fontId="1" fillId="0" borderId="16" xfId="0" applyFont="1" applyBorder="1"/>
    <xf numFmtId="0" fontId="8" fillId="0" borderId="0" xfId="0" applyFont="1" applyAlignment="1">
      <alignment vertical="center"/>
    </xf>
    <xf numFmtId="166" fontId="0" fillId="0" borderId="16" xfId="3" applyNumberFormat="1" applyFont="1" applyFill="1" applyBorder="1"/>
    <xf numFmtId="1" fontId="6" fillId="0" borderId="1" xfId="4" applyNumberFormat="1" applyFont="1" applyBorder="1" applyAlignment="1">
      <alignment horizontal="center" vertical="center"/>
    </xf>
    <xf numFmtId="166" fontId="0" fillId="0" borderId="1" xfId="0" applyNumberFormat="1" applyBorder="1"/>
    <xf numFmtId="9" fontId="0" fillId="0" borderId="26" xfId="2" applyFont="1" applyBorder="1"/>
    <xf numFmtId="9" fontId="0" fillId="0" borderId="25" xfId="2" applyFont="1" applyBorder="1"/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2">
    <cellStyle name="Milliers" xfId="3" builtinId="3"/>
    <cellStyle name="Milliers 2" xfId="8"/>
    <cellStyle name="NiveauLigne_4" xfId="1" builtinId="1" iLevel="3"/>
    <cellStyle name="Normal" xfId="0" builtinId="0"/>
    <cellStyle name="Normal 2" xfId="4"/>
    <cellStyle name="Normal 2 2" xfId="5"/>
    <cellStyle name="Normal 3" xfId="6"/>
    <cellStyle name="Normal 4" xfId="9"/>
    <cellStyle name="Normal 5" xfId="10"/>
    <cellStyle name="Normal 6" xfId="11"/>
    <cellStyle name="Pourcentage" xfId="2" builtinId="5"/>
    <cellStyle name="Pourcentage 2" xfId="7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Capacité PAX moyenne </a:t>
            </a:r>
            <a:r>
              <a:rPr lang="en-US" sz="1400"/>
              <a:t>Ajaccio / Toulon</a:t>
            </a:r>
          </a:p>
          <a:p>
            <a:pPr>
              <a:defRPr sz="1400"/>
            </a:pPr>
            <a:r>
              <a:rPr lang="en-US" sz="1400"/>
              <a:t> 2014-2017</a:t>
            </a:r>
          </a:p>
          <a:p>
            <a:pPr>
              <a:defRPr sz="1400"/>
            </a:pPr>
            <a:endParaRPr lang="en-US" sz="1400"/>
          </a:p>
        </c:rich>
      </c:tx>
      <c:layout>
        <c:manualLayout>
          <c:xMode val="edge"/>
          <c:yMode val="edge"/>
          <c:x val="0.2283279283547722"/>
          <c:y val="1.674506518320885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53200958575833"/>
          <c:y val="0.13388528217703724"/>
          <c:w val="0.85672885997945913"/>
          <c:h val="0.77606800739436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72B-49C6-AEDE-D8FFBDF52D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72B-49C6-AEDE-D8FFBDF52D9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72B-49C6-AEDE-D8FFBDF52D9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72B-49C6-AEDE-D8FFBDF52D9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72B-49C6-AEDE-D8FFBDF52D9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72B-49C6-AEDE-D8FFBDF52D9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72B-49C6-AEDE-D8FFBDF52D9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72B-49C6-AEDE-D8FFBDF52D9A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'PAX AJA TL+NI'!$G$3:$G$14</c:f>
                <c:numCache>
                  <c:formatCode>General</c:formatCode>
                  <c:ptCount val="12"/>
                  <c:pt idx="0">
                    <c:v>9151.8772937578215</c:v>
                  </c:pt>
                  <c:pt idx="1">
                    <c:v>7086.2494252366441</c:v>
                  </c:pt>
                  <c:pt idx="2">
                    <c:v>4408.8028609438488</c:v>
                  </c:pt>
                  <c:pt idx="3">
                    <c:v>14943.210306021929</c:v>
                  </c:pt>
                  <c:pt idx="4">
                    <c:v>15664.822299236805</c:v>
                  </c:pt>
                  <c:pt idx="5">
                    <c:v>15459.642179990238</c:v>
                  </c:pt>
                  <c:pt idx="6">
                    <c:v>12090.603541593779</c:v>
                  </c:pt>
                  <c:pt idx="7">
                    <c:v>11379.251791455066</c:v>
                  </c:pt>
                  <c:pt idx="8">
                    <c:v>9459.7802123868969</c:v>
                  </c:pt>
                  <c:pt idx="9">
                    <c:v>6266.8156187971572</c:v>
                  </c:pt>
                  <c:pt idx="10">
                    <c:v>3436.5419149682043</c:v>
                  </c:pt>
                  <c:pt idx="11">
                    <c:v>6324.3807865539948</c:v>
                  </c:pt>
                </c:numCache>
              </c:numRef>
            </c:plus>
            <c:minus>
              <c:numRef>
                <c:f>'PAX AJA TL+NI'!$H$3:$H$14</c:f>
                <c:numCache>
                  <c:formatCode>General</c:formatCode>
                  <c:ptCount val="12"/>
                  <c:pt idx="0">
                    <c:v>9151.8772937578215</c:v>
                  </c:pt>
                  <c:pt idx="1">
                    <c:v>7086.2494252366441</c:v>
                  </c:pt>
                  <c:pt idx="2">
                    <c:v>4408.8028609438488</c:v>
                  </c:pt>
                  <c:pt idx="3">
                    <c:v>14943.210306021929</c:v>
                  </c:pt>
                  <c:pt idx="4">
                    <c:v>15664.822299236805</c:v>
                  </c:pt>
                  <c:pt idx="5">
                    <c:v>15459.642179990238</c:v>
                  </c:pt>
                  <c:pt idx="6">
                    <c:v>12090.603541593779</c:v>
                  </c:pt>
                  <c:pt idx="7">
                    <c:v>11379.251791455066</c:v>
                  </c:pt>
                  <c:pt idx="8">
                    <c:v>9459.7802123868969</c:v>
                  </c:pt>
                  <c:pt idx="9">
                    <c:v>6266.8156187971572</c:v>
                  </c:pt>
                  <c:pt idx="10">
                    <c:v>3436.5419149682043</c:v>
                  </c:pt>
                  <c:pt idx="11">
                    <c:v>6324.3807865539948</c:v>
                  </c:pt>
                </c:numCache>
              </c:numRef>
            </c:minus>
          </c:errBars>
          <c:cat>
            <c:strRef>
              <c:f>'PAX AJA TL+NI'!$A$3:$A$14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AJA TL+NI'!$F$3:$F$14</c:f>
              <c:numCache>
                <c:formatCode>#\ ##0\ _€</c:formatCode>
                <c:ptCount val="12"/>
                <c:pt idx="0">
                  <c:v>136957</c:v>
                </c:pt>
                <c:pt idx="1">
                  <c:v>115928.25</c:v>
                </c:pt>
                <c:pt idx="2">
                  <c:v>127040</c:v>
                </c:pt>
                <c:pt idx="3">
                  <c:v>174237.75</c:v>
                </c:pt>
                <c:pt idx="4">
                  <c:v>191743.5</c:v>
                </c:pt>
                <c:pt idx="5">
                  <c:v>213659.5</c:v>
                </c:pt>
                <c:pt idx="6">
                  <c:v>244374</c:v>
                </c:pt>
                <c:pt idx="7">
                  <c:v>247043</c:v>
                </c:pt>
                <c:pt idx="8">
                  <c:v>209270.5</c:v>
                </c:pt>
                <c:pt idx="9">
                  <c:v>160839</c:v>
                </c:pt>
                <c:pt idx="10">
                  <c:v>125585.33333333333</c:v>
                </c:pt>
                <c:pt idx="11">
                  <c:v>131302.66666666666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72B-49C6-AEDE-D8FFBDF52D9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1767248"/>
        <c:axId val="491764896"/>
      </c:barChart>
      <c:catAx>
        <c:axId val="4917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491764896"/>
        <c:crosses val="autoZero"/>
        <c:auto val="1"/>
        <c:lblAlgn val="ctr"/>
        <c:lblOffset val="100"/>
        <c:noMultiLvlLbl val="0"/>
      </c:catAx>
      <c:valAx>
        <c:axId val="4917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49176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'!$A$1</c:f>
              <c:strCache>
                <c:ptCount val="1"/>
                <c:pt idx="0">
                  <c:v>CAPACITE ROLL  AJACCIO TOULON</c:v>
                </c:pt>
              </c:strCache>
            </c:strRef>
          </c:tx>
          <c:invertIfNegative val="0"/>
          <c:cat>
            <c:numRef>
              <c:f>'ROLL+VL AJA TL+NI 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'!$B$15:$E$15</c:f>
              <c:numCache>
                <c:formatCode>#\ ##0\ _€</c:formatCode>
                <c:ptCount val="4"/>
                <c:pt idx="0">
                  <c:v>297484.71999999991</c:v>
                </c:pt>
                <c:pt idx="1">
                  <c:v>299547.75999999995</c:v>
                </c:pt>
                <c:pt idx="2">
                  <c:v>310853.2</c:v>
                </c:pt>
                <c:pt idx="3">
                  <c:v>266863.76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BA-4AE1-819E-09B03913CB6F}"/>
            </c:ext>
          </c:extLst>
        </c:ser>
        <c:ser>
          <c:idx val="1"/>
          <c:order val="1"/>
          <c:tx>
            <c:strRef>
              <c:f>'ROLL+VL AJA TL+NI '!$A$20</c:f>
              <c:strCache>
                <c:ptCount val="1"/>
                <c:pt idx="0">
                  <c:v>ROLL REALISE AJACCIO TOULON</c:v>
                </c:pt>
              </c:strCache>
            </c:strRef>
          </c:tx>
          <c:invertIfNegative val="0"/>
          <c:cat>
            <c:numRef>
              <c:f>'ROLL+VL AJA TL+NI 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'!$B$34:$E$34</c:f>
              <c:numCache>
                <c:formatCode>#\ ##0\ _€</c:formatCode>
                <c:ptCount val="4"/>
                <c:pt idx="0">
                  <c:v>232569</c:v>
                </c:pt>
                <c:pt idx="1">
                  <c:v>211253</c:v>
                </c:pt>
                <c:pt idx="2">
                  <c:v>176107</c:v>
                </c:pt>
                <c:pt idx="3">
                  <c:v>155268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BA-4AE1-819E-09B03913CB6F}"/>
            </c:ext>
          </c:extLst>
        </c:ser>
        <c:ser>
          <c:idx val="2"/>
          <c:order val="2"/>
          <c:tx>
            <c:strRef>
              <c:f>'ROLL+VL AJA TL+NI '!$A$56</c:f>
              <c:strCache>
                <c:ptCount val="1"/>
                <c:pt idx="0">
                  <c:v>ROLL REALISE TOULON + MARSEILLE</c:v>
                </c:pt>
              </c:strCache>
            </c:strRef>
          </c:tx>
          <c:invertIfNegative val="0"/>
          <c:cat>
            <c:numRef>
              <c:f>'ROLL+VL AJA TL+NI 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'!$B$70:$E$70</c:f>
              <c:numCache>
                <c:formatCode>#\ ##0\ _€</c:formatCode>
                <c:ptCount val="4"/>
                <c:pt idx="0">
                  <c:v>669048</c:v>
                </c:pt>
                <c:pt idx="1">
                  <c:v>686153</c:v>
                </c:pt>
                <c:pt idx="2">
                  <c:v>713342</c:v>
                </c:pt>
                <c:pt idx="3">
                  <c:v>671994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BA-4AE1-819E-09B03913C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764504"/>
        <c:axId val="382472056"/>
      </c:barChart>
      <c:catAx>
        <c:axId val="491764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2472056"/>
        <c:crosses val="autoZero"/>
        <c:auto val="1"/>
        <c:lblAlgn val="ctr"/>
        <c:lblOffset val="100"/>
        <c:noMultiLvlLbl val="0"/>
      </c:catAx>
      <c:valAx>
        <c:axId val="382472056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crossAx val="491764504"/>
        <c:crosses val="autoZero"/>
        <c:crossBetween val="between"/>
        <c:majorUnit val="40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BESOIN SERVICE PUBLIC ROLL TOULON+NICE - AJACIO (2014-2017)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'!$AD$73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'ROLL+VL AJA TL+NI 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'!$AD$74:$AD$85</c:f>
              <c:numCache>
                <c:formatCode>#,##0</c:formatCode>
                <c:ptCount val="12"/>
                <c:pt idx="0">
                  <c:v>26001</c:v>
                </c:pt>
                <c:pt idx="1">
                  <c:v>29531.8</c:v>
                </c:pt>
                <c:pt idx="2">
                  <c:v>33282.199999999997</c:v>
                </c:pt>
                <c:pt idx="3">
                  <c:v>28346</c:v>
                </c:pt>
                <c:pt idx="4">
                  <c:v>28991.32</c:v>
                </c:pt>
                <c:pt idx="5">
                  <c:v>36976.520000000004</c:v>
                </c:pt>
                <c:pt idx="6">
                  <c:v>40289.199999999997</c:v>
                </c:pt>
                <c:pt idx="7">
                  <c:v>26101.56</c:v>
                </c:pt>
                <c:pt idx="8">
                  <c:v>30964.48</c:v>
                </c:pt>
                <c:pt idx="9">
                  <c:v>34804.800000000003</c:v>
                </c:pt>
                <c:pt idx="10">
                  <c:v>29953.200000000001</c:v>
                </c:pt>
                <c:pt idx="11">
                  <c:v>26321.199999999997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8-4DDB-978A-C8091CF4A0D4}"/>
            </c:ext>
          </c:extLst>
        </c:ser>
        <c:ser>
          <c:idx val="1"/>
          <c:order val="1"/>
          <c:tx>
            <c:strRef>
              <c:f>'ROLL+VL AJA TL+NI '!$AE$73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'ROLL+VL AJA TL+NI 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'!$AE$74:$AE$85</c:f>
              <c:numCache>
                <c:formatCode>#,##0</c:formatCode>
                <c:ptCount val="12"/>
                <c:pt idx="0">
                  <c:v>26893.4</c:v>
                </c:pt>
                <c:pt idx="1">
                  <c:v>28885.199999999997</c:v>
                </c:pt>
                <c:pt idx="2">
                  <c:v>36541.199999999997</c:v>
                </c:pt>
                <c:pt idx="3">
                  <c:v>25065</c:v>
                </c:pt>
                <c:pt idx="4">
                  <c:v>33261.64</c:v>
                </c:pt>
                <c:pt idx="5">
                  <c:v>40515.520000000004</c:v>
                </c:pt>
                <c:pt idx="6">
                  <c:v>43534.68</c:v>
                </c:pt>
                <c:pt idx="7">
                  <c:v>28613.280000000002</c:v>
                </c:pt>
                <c:pt idx="8">
                  <c:v>33820.720000000001</c:v>
                </c:pt>
                <c:pt idx="9">
                  <c:v>32751.8</c:v>
                </c:pt>
                <c:pt idx="10">
                  <c:v>30411.4</c:v>
                </c:pt>
                <c:pt idx="11">
                  <c:v>26311.399999999998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58-4DDB-978A-C8091CF4A0D4}"/>
            </c:ext>
          </c:extLst>
        </c:ser>
        <c:ser>
          <c:idx val="2"/>
          <c:order val="2"/>
          <c:tx>
            <c:strRef>
              <c:f>'ROLL+VL AJA TL+NI '!$AF$73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'ROLL+VL AJA TL+NI 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'!$AF$74:$AF$85</c:f>
              <c:numCache>
                <c:formatCode>#,##0</c:formatCode>
                <c:ptCount val="12"/>
                <c:pt idx="0">
                  <c:v>27551.199999999997</c:v>
                </c:pt>
                <c:pt idx="1">
                  <c:v>29631.800000000003</c:v>
                </c:pt>
                <c:pt idx="2">
                  <c:v>35346</c:v>
                </c:pt>
                <c:pt idx="3">
                  <c:v>28339.800000000003</c:v>
                </c:pt>
                <c:pt idx="4">
                  <c:v>45707.96</c:v>
                </c:pt>
                <c:pt idx="5">
                  <c:v>43572.6</c:v>
                </c:pt>
                <c:pt idx="6">
                  <c:v>36382.239999999998</c:v>
                </c:pt>
                <c:pt idx="7">
                  <c:v>29100.760000000002</c:v>
                </c:pt>
                <c:pt idx="8">
                  <c:v>36035.440000000002</c:v>
                </c:pt>
                <c:pt idx="9">
                  <c:v>30220.400000000001</c:v>
                </c:pt>
                <c:pt idx="10">
                  <c:v>34713.800000000003</c:v>
                </c:pt>
                <c:pt idx="11">
                  <c:v>25886.799999999999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58-4DDB-978A-C8091CF4A0D4}"/>
            </c:ext>
          </c:extLst>
        </c:ser>
        <c:ser>
          <c:idx val="3"/>
          <c:order val="3"/>
          <c:tx>
            <c:strRef>
              <c:f>'ROLL+VL AJA TL+NI '!$AG$73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AJA TL+NI 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'!$AG$74:$AG$85</c:f>
              <c:numCache>
                <c:formatCode>#,##0</c:formatCode>
                <c:ptCount val="12"/>
                <c:pt idx="0">
                  <c:v>35134.800000000003</c:v>
                </c:pt>
                <c:pt idx="1">
                  <c:v>37110.199999999997</c:v>
                </c:pt>
                <c:pt idx="2">
                  <c:v>50253.2</c:v>
                </c:pt>
                <c:pt idx="3">
                  <c:v>27530</c:v>
                </c:pt>
                <c:pt idx="4">
                  <c:v>48652.68</c:v>
                </c:pt>
                <c:pt idx="5">
                  <c:v>53497.8</c:v>
                </c:pt>
                <c:pt idx="6">
                  <c:v>41544.160000000003</c:v>
                </c:pt>
                <c:pt idx="7">
                  <c:v>31727.880000000005</c:v>
                </c:pt>
                <c:pt idx="8">
                  <c:v>41990.720000000001</c:v>
                </c:pt>
                <c:pt idx="9">
                  <c:v>37688.800000000003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58-4DDB-978A-C8091CF4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71664"/>
        <c:axId val="382472840"/>
      </c:barChart>
      <c:catAx>
        <c:axId val="38247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2472840"/>
        <c:crosses val="autoZero"/>
        <c:auto val="1"/>
        <c:lblAlgn val="ctr"/>
        <c:lblOffset val="100"/>
        <c:noMultiLvlLbl val="0"/>
      </c:catAx>
      <c:valAx>
        <c:axId val="382472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8247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BESOIN SERVICE PUBLIC VL TOULON+NICE - AJACIO (2014-2017)</a:t>
            </a:r>
          </a:p>
        </c:rich>
      </c:tx>
      <c:layout>
        <c:manualLayout>
          <c:xMode val="edge"/>
          <c:yMode val="edge"/>
          <c:x val="0.12453416666666668"/>
          <c:y val="1.7638888888888888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'!$AD$57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'ROLL+VL AJA TL+NI 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'!$AD$58:$AD$69</c:f>
              <c:numCache>
                <c:formatCode>#,##0</c:formatCode>
                <c:ptCount val="12"/>
                <c:pt idx="0">
                  <c:v>-15494.999999999993</c:v>
                </c:pt>
                <c:pt idx="1">
                  <c:v>-11985.679999999993</c:v>
                </c:pt>
                <c:pt idx="2">
                  <c:v>-8450.36</c:v>
                </c:pt>
                <c:pt idx="3">
                  <c:v>-31924.079999999987</c:v>
                </c:pt>
                <c:pt idx="4">
                  <c:v>1614.6000000000058</c:v>
                </c:pt>
                <c:pt idx="5">
                  <c:v>-9890.5199999999895</c:v>
                </c:pt>
                <c:pt idx="6">
                  <c:v>-165.32000000000698</c:v>
                </c:pt>
                <c:pt idx="7">
                  <c:v>59401.72</c:v>
                </c:pt>
                <c:pt idx="8">
                  <c:v>4699.2799999999988</c:v>
                </c:pt>
                <c:pt idx="9">
                  <c:v>-11834.039999999994</c:v>
                </c:pt>
                <c:pt idx="10">
                  <c:v>5037.0800000000017</c:v>
                </c:pt>
                <c:pt idx="11">
                  <c:v>9900.0800000000017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23-4519-9E71-5B70AF6DAE6D}"/>
            </c:ext>
          </c:extLst>
        </c:ser>
        <c:ser>
          <c:idx val="1"/>
          <c:order val="1"/>
          <c:tx>
            <c:strRef>
              <c:f>'ROLL+VL AJA TL+NI '!$AE$57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'ROLL+VL AJA TL+NI 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'!$AE$58:$AE$69</c:f>
              <c:numCache>
                <c:formatCode>#,##0</c:formatCode>
                <c:ptCount val="12"/>
                <c:pt idx="0">
                  <c:v>1691.8000000000029</c:v>
                </c:pt>
                <c:pt idx="1">
                  <c:v>332.04000000000087</c:v>
                </c:pt>
                <c:pt idx="2">
                  <c:v>6822.6400000000031</c:v>
                </c:pt>
                <c:pt idx="3">
                  <c:v>-24007.760000000009</c:v>
                </c:pt>
                <c:pt idx="4">
                  <c:v>-7399.9999999999854</c:v>
                </c:pt>
                <c:pt idx="5">
                  <c:v>-29153.919999999984</c:v>
                </c:pt>
                <c:pt idx="6">
                  <c:v>23622.080000000016</c:v>
                </c:pt>
                <c:pt idx="7">
                  <c:v>69369.360000000015</c:v>
                </c:pt>
                <c:pt idx="8">
                  <c:v>11749.839999999997</c:v>
                </c:pt>
                <c:pt idx="9">
                  <c:v>-3413.4400000000023</c:v>
                </c:pt>
                <c:pt idx="10">
                  <c:v>-2258.3600000000006</c:v>
                </c:pt>
                <c:pt idx="11">
                  <c:v>-4081.5999999999985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23-4519-9E71-5B70AF6DAE6D}"/>
            </c:ext>
          </c:extLst>
        </c:ser>
        <c:ser>
          <c:idx val="2"/>
          <c:order val="2"/>
          <c:tx>
            <c:strRef>
              <c:f>'ROLL+VL AJA TL+NI '!$AF$57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'ROLL+VL AJA TL+NI 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'!$AF$58:$AF$69</c:f>
              <c:numCache>
                <c:formatCode>#,##0</c:formatCode>
                <c:ptCount val="12"/>
                <c:pt idx="0">
                  <c:v>-11583.479999999996</c:v>
                </c:pt>
                <c:pt idx="1">
                  <c:v>-1850.3600000000006</c:v>
                </c:pt>
                <c:pt idx="2">
                  <c:v>-1410.4799999999959</c:v>
                </c:pt>
                <c:pt idx="3">
                  <c:v>-39209.279999999984</c:v>
                </c:pt>
                <c:pt idx="4">
                  <c:v>-7147.4799999999814</c:v>
                </c:pt>
                <c:pt idx="5">
                  <c:v>-23168.799999999988</c:v>
                </c:pt>
                <c:pt idx="6">
                  <c:v>9793.320000000007</c:v>
                </c:pt>
                <c:pt idx="7">
                  <c:v>56663.960000000021</c:v>
                </c:pt>
                <c:pt idx="8">
                  <c:v>429.48000000001048</c:v>
                </c:pt>
                <c:pt idx="9">
                  <c:v>-20125.760000000009</c:v>
                </c:pt>
                <c:pt idx="10">
                  <c:v>-2669.9199999999983</c:v>
                </c:pt>
                <c:pt idx="11">
                  <c:v>1806.0800000000017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D23-4519-9E71-5B70AF6DAE6D}"/>
            </c:ext>
          </c:extLst>
        </c:ser>
        <c:ser>
          <c:idx val="3"/>
          <c:order val="3"/>
          <c:tx>
            <c:strRef>
              <c:f>'ROLL+VL AJA TL+NI '!$AG$57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AJA TL+NI 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'!$AG$58:$AG$69</c:f>
              <c:numCache>
                <c:formatCode>#,##0</c:formatCode>
                <c:ptCount val="12"/>
                <c:pt idx="0">
                  <c:v>-11367.479999999996</c:v>
                </c:pt>
                <c:pt idx="1">
                  <c:v>99.319999999999709</c:v>
                </c:pt>
                <c:pt idx="2">
                  <c:v>36878.639999999999</c:v>
                </c:pt>
                <c:pt idx="3">
                  <c:v>-4534.839999999982</c:v>
                </c:pt>
                <c:pt idx="4">
                  <c:v>973.80000000000291</c:v>
                </c:pt>
                <c:pt idx="5">
                  <c:v>36064.36</c:v>
                </c:pt>
                <c:pt idx="6">
                  <c:v>46795.239999999991</c:v>
                </c:pt>
                <c:pt idx="7">
                  <c:v>3304.5999999999767</c:v>
                </c:pt>
                <c:pt idx="8">
                  <c:v>-32256.079999999973</c:v>
                </c:pt>
                <c:pt idx="9">
                  <c:v>-65078.759999999995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23-4519-9E71-5B70AF6DA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96080"/>
        <c:axId val="114196864"/>
      </c:barChart>
      <c:catAx>
        <c:axId val="11419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196864"/>
        <c:crosses val="autoZero"/>
        <c:auto val="1"/>
        <c:lblAlgn val="ctr"/>
        <c:lblOffset val="100"/>
        <c:noMultiLvlLbl val="0"/>
      </c:catAx>
      <c:valAx>
        <c:axId val="114196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19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BESOIN SERVICE PUBLIC GARAGE TOULON+NICE - AJACIO (2014-2017)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'!$AC$40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'ROLL+VL AJA TL+NI 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'!$AC$41:$AC$52</c:f>
              <c:numCache>
                <c:formatCode>#,##0</c:formatCode>
                <c:ptCount val="12"/>
                <c:pt idx="0">
                  <c:v>10506</c:v>
                </c:pt>
                <c:pt idx="1">
                  <c:v>17546.12000000001</c:v>
                </c:pt>
                <c:pt idx="2">
                  <c:v>24831.839999999997</c:v>
                </c:pt>
                <c:pt idx="3">
                  <c:v>-3578.0799999999872</c:v>
                </c:pt>
                <c:pt idx="4">
                  <c:v>30605.920000000013</c:v>
                </c:pt>
                <c:pt idx="5">
                  <c:v>27086</c:v>
                </c:pt>
                <c:pt idx="6">
                  <c:v>40123.880000000005</c:v>
                </c:pt>
                <c:pt idx="7">
                  <c:v>85503.28</c:v>
                </c:pt>
                <c:pt idx="8">
                  <c:v>35663.760000000009</c:v>
                </c:pt>
                <c:pt idx="9">
                  <c:v>22970.760000000009</c:v>
                </c:pt>
                <c:pt idx="10">
                  <c:v>34990.28</c:v>
                </c:pt>
                <c:pt idx="11">
                  <c:v>36221.279999999999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F1-4B42-BA8D-E98132F654B0}"/>
            </c:ext>
          </c:extLst>
        </c:ser>
        <c:ser>
          <c:idx val="1"/>
          <c:order val="1"/>
          <c:tx>
            <c:strRef>
              <c:f>'ROLL+VL AJA TL+NI '!$AD$40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'ROLL+VL AJA TL+NI 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'!$AD$41:$AD$52</c:f>
              <c:numCache>
                <c:formatCode>#,##0</c:formatCode>
                <c:ptCount val="12"/>
                <c:pt idx="0">
                  <c:v>28585.200000000004</c:v>
                </c:pt>
                <c:pt idx="1">
                  <c:v>29217.239999999998</c:v>
                </c:pt>
                <c:pt idx="2">
                  <c:v>43363.840000000004</c:v>
                </c:pt>
                <c:pt idx="3">
                  <c:v>1057.2399999999907</c:v>
                </c:pt>
                <c:pt idx="4">
                  <c:v>25861.640000000014</c:v>
                </c:pt>
                <c:pt idx="5">
                  <c:v>11361.600000000035</c:v>
                </c:pt>
                <c:pt idx="6">
                  <c:v>67156.760000000009</c:v>
                </c:pt>
                <c:pt idx="7">
                  <c:v>97982.640000000014</c:v>
                </c:pt>
                <c:pt idx="8">
                  <c:v>45570.559999999998</c:v>
                </c:pt>
                <c:pt idx="9">
                  <c:v>29338.36</c:v>
                </c:pt>
                <c:pt idx="10">
                  <c:v>28153.040000000001</c:v>
                </c:pt>
                <c:pt idx="11">
                  <c:v>22229.800000000003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F1-4B42-BA8D-E98132F654B0}"/>
            </c:ext>
          </c:extLst>
        </c:ser>
        <c:ser>
          <c:idx val="2"/>
          <c:order val="2"/>
          <c:tx>
            <c:strRef>
              <c:f>'ROLL+VL AJA TL+NI '!$AE$40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'ROLL+VL AJA TL+NI 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'!$AE$41:$AE$52</c:f>
              <c:numCache>
                <c:formatCode>#,##0</c:formatCode>
                <c:ptCount val="12"/>
                <c:pt idx="0">
                  <c:v>15967.720000000001</c:v>
                </c:pt>
                <c:pt idx="1">
                  <c:v>27781.440000000002</c:v>
                </c:pt>
                <c:pt idx="2">
                  <c:v>33935.520000000004</c:v>
                </c:pt>
                <c:pt idx="3">
                  <c:v>-10869.479999999981</c:v>
                </c:pt>
                <c:pt idx="4">
                  <c:v>38560.48000000001</c:v>
                </c:pt>
                <c:pt idx="5">
                  <c:v>20403.800000000017</c:v>
                </c:pt>
                <c:pt idx="6">
                  <c:v>46175.56</c:v>
                </c:pt>
                <c:pt idx="7">
                  <c:v>85764.72</c:v>
                </c:pt>
                <c:pt idx="8">
                  <c:v>36464.920000000013</c:v>
                </c:pt>
                <c:pt idx="9">
                  <c:v>10094.639999999985</c:v>
                </c:pt>
                <c:pt idx="10">
                  <c:v>32043.880000000005</c:v>
                </c:pt>
                <c:pt idx="11">
                  <c:v>27692.880000000005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F1-4B42-BA8D-E98132F654B0}"/>
            </c:ext>
          </c:extLst>
        </c:ser>
        <c:ser>
          <c:idx val="3"/>
          <c:order val="3"/>
          <c:tx>
            <c:strRef>
              <c:f>'ROLL+VL AJA TL+NI '!$AF$40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AJA TL+NI 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'!$AF$41:$AF$52</c:f>
              <c:numCache>
                <c:formatCode>#,##0</c:formatCode>
                <c:ptCount val="12"/>
                <c:pt idx="0">
                  <c:v>23767.320000000007</c:v>
                </c:pt>
                <c:pt idx="1">
                  <c:v>37209.520000000004</c:v>
                </c:pt>
                <c:pt idx="2">
                  <c:v>87131.839999999997</c:v>
                </c:pt>
                <c:pt idx="3">
                  <c:v>22995.160000000033</c:v>
                </c:pt>
                <c:pt idx="4">
                  <c:v>49626.48000000001</c:v>
                </c:pt>
                <c:pt idx="5">
                  <c:v>89562.16</c:v>
                </c:pt>
                <c:pt idx="6">
                  <c:v>88339.4</c:v>
                </c:pt>
                <c:pt idx="7">
                  <c:v>35032.479999999981</c:v>
                </c:pt>
                <c:pt idx="8">
                  <c:v>9734.640000000014</c:v>
                </c:pt>
                <c:pt idx="9">
                  <c:v>-27389.959999999992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F1-4B42-BA8D-E98132F65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58112"/>
        <c:axId val="493801656"/>
      </c:barChart>
      <c:catAx>
        <c:axId val="177358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801656"/>
        <c:crosses val="autoZero"/>
        <c:auto val="1"/>
        <c:lblAlgn val="ctr"/>
        <c:lblOffset val="100"/>
        <c:noMultiLvlLbl val="0"/>
      </c:catAx>
      <c:valAx>
        <c:axId val="493801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35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>
                <a:effectLst/>
              </a:rPr>
              <a:t>BESOIN SERVICE PUBLIC GARAGE TOULON+NICE - AJACIO (2017)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'!$AF$40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AJA TL+NI 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'!$AF$41:$AF$52</c:f>
              <c:numCache>
                <c:formatCode>#,##0</c:formatCode>
                <c:ptCount val="12"/>
                <c:pt idx="0">
                  <c:v>23767.320000000007</c:v>
                </c:pt>
                <c:pt idx="1">
                  <c:v>37209.520000000004</c:v>
                </c:pt>
                <c:pt idx="2">
                  <c:v>87131.839999999997</c:v>
                </c:pt>
                <c:pt idx="3">
                  <c:v>22995.160000000033</c:v>
                </c:pt>
                <c:pt idx="4">
                  <c:v>49626.48000000001</c:v>
                </c:pt>
                <c:pt idx="5">
                  <c:v>89562.16</c:v>
                </c:pt>
                <c:pt idx="6">
                  <c:v>88339.4</c:v>
                </c:pt>
                <c:pt idx="7">
                  <c:v>35032.479999999981</c:v>
                </c:pt>
                <c:pt idx="8">
                  <c:v>9734.640000000014</c:v>
                </c:pt>
                <c:pt idx="9">
                  <c:v>-27389.959999999992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A-407F-A850-DB26138A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802440"/>
        <c:axId val="493802832"/>
      </c:barChart>
      <c:catAx>
        <c:axId val="493802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802832"/>
        <c:crosses val="autoZero"/>
        <c:auto val="1"/>
        <c:lblAlgn val="ctr"/>
        <c:lblOffset val="100"/>
        <c:noMultiLvlLbl val="0"/>
      </c:catAx>
      <c:valAx>
        <c:axId val="4938028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802440"/>
        <c:crosses val="autoZero"/>
        <c:crossBetween val="between"/>
        <c:majorUnit val="4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>
                <a:effectLst/>
              </a:rPr>
              <a:t>BESOIN SERVICE PUBLIC VL TOULON+NICE - AJACIO (2017)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'!$AG$57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AJA TL+NI 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'!$AG$58:$AG$69</c:f>
              <c:numCache>
                <c:formatCode>#,##0</c:formatCode>
                <c:ptCount val="12"/>
                <c:pt idx="0">
                  <c:v>-11367.479999999996</c:v>
                </c:pt>
                <c:pt idx="1">
                  <c:v>99.319999999999709</c:v>
                </c:pt>
                <c:pt idx="2">
                  <c:v>36878.639999999999</c:v>
                </c:pt>
                <c:pt idx="3">
                  <c:v>-4534.839999999982</c:v>
                </c:pt>
                <c:pt idx="4">
                  <c:v>973.80000000000291</c:v>
                </c:pt>
                <c:pt idx="5">
                  <c:v>36064.36</c:v>
                </c:pt>
                <c:pt idx="6">
                  <c:v>46795.239999999991</c:v>
                </c:pt>
                <c:pt idx="7">
                  <c:v>3304.5999999999767</c:v>
                </c:pt>
                <c:pt idx="8">
                  <c:v>-32256.079999999973</c:v>
                </c:pt>
                <c:pt idx="9">
                  <c:v>-65078.759999999995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24-4867-89DA-E2009324E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803616"/>
        <c:axId val="493804008"/>
      </c:barChart>
      <c:catAx>
        <c:axId val="49380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804008"/>
        <c:crosses val="autoZero"/>
        <c:auto val="1"/>
        <c:lblAlgn val="ctr"/>
        <c:lblOffset val="100"/>
        <c:noMultiLvlLbl val="0"/>
      </c:catAx>
      <c:valAx>
        <c:axId val="493804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803616"/>
        <c:crosses val="autoZero"/>
        <c:crossBetween val="between"/>
        <c:majorUnit val="4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>
                <a:effectLst/>
              </a:rPr>
              <a:t>BESOIN SERVICE PUBLIC ROLL TOULON+NICE - AJACIO (2017)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'!$AF$40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AJA TL+NI 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'!$AG$74:$AG$85</c:f>
              <c:numCache>
                <c:formatCode>#,##0</c:formatCode>
                <c:ptCount val="12"/>
                <c:pt idx="0">
                  <c:v>35134.800000000003</c:v>
                </c:pt>
                <c:pt idx="1">
                  <c:v>37110.199999999997</c:v>
                </c:pt>
                <c:pt idx="2">
                  <c:v>50253.2</c:v>
                </c:pt>
                <c:pt idx="3">
                  <c:v>27530</c:v>
                </c:pt>
                <c:pt idx="4">
                  <c:v>48652.68</c:v>
                </c:pt>
                <c:pt idx="5">
                  <c:v>53497.8</c:v>
                </c:pt>
                <c:pt idx="6">
                  <c:v>41544.160000000003</c:v>
                </c:pt>
                <c:pt idx="7">
                  <c:v>31727.880000000005</c:v>
                </c:pt>
                <c:pt idx="8">
                  <c:v>41990.720000000001</c:v>
                </c:pt>
                <c:pt idx="9">
                  <c:v>37688.800000000003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32-4F45-81B0-42DD6860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804792"/>
        <c:axId val="493805184"/>
      </c:barChart>
      <c:catAx>
        <c:axId val="493804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805184"/>
        <c:crosses val="autoZero"/>
        <c:auto val="1"/>
        <c:lblAlgn val="ctr"/>
        <c:lblOffset val="100"/>
        <c:noMultiLvlLbl val="0"/>
      </c:catAx>
      <c:valAx>
        <c:axId val="493805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804792"/>
        <c:crosses val="autoZero"/>
        <c:crossBetween val="between"/>
        <c:majorUnit val="4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Capacité PAX moyen </a:t>
            </a:r>
            <a:r>
              <a:rPr lang="en-US" sz="1400"/>
              <a:t> Bastia / Toulon </a:t>
            </a:r>
          </a:p>
          <a:p>
            <a:pPr>
              <a:defRPr sz="1400"/>
            </a:pPr>
            <a:r>
              <a:rPr lang="en-US" sz="1400"/>
              <a:t>2014-2017</a:t>
            </a:r>
          </a:p>
        </c:rich>
      </c:tx>
      <c:layout>
        <c:manualLayout>
          <c:xMode val="edge"/>
          <c:yMode val="edge"/>
          <c:x val="0.21716212103921798"/>
          <c:y val="1.286340800999070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53200958575833"/>
          <c:y val="0.13388528217703724"/>
          <c:w val="0.85672885997945913"/>
          <c:h val="0.77606800739436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AF2-49DC-A95B-5837F55F28A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F2-49DC-A95B-5837F55F28A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AF2-49DC-A95B-5837F55F28A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AF2-49DC-A95B-5837F55F28A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AF2-49DC-A95B-5837F55F28A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AF2-49DC-A95B-5837F55F28A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9AF2-49DC-A95B-5837F55F28A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9AF2-49DC-A95B-5837F55F28AC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'PAX BAS TL+NI'!$G$3:$G$14</c:f>
                <c:numCache>
                  <c:formatCode>General</c:formatCode>
                  <c:ptCount val="12"/>
                  <c:pt idx="0">
                    <c:v>10312.847727470817</c:v>
                  </c:pt>
                  <c:pt idx="1">
                    <c:v>5455.1912279344833</c:v>
                  </c:pt>
                  <c:pt idx="2">
                    <c:v>2637.5889874403606</c:v>
                  </c:pt>
                  <c:pt idx="3">
                    <c:v>8290.0516685161056</c:v>
                  </c:pt>
                  <c:pt idx="4">
                    <c:v>5904.3828000901158</c:v>
                  </c:pt>
                  <c:pt idx="5">
                    <c:v>14435.403570735389</c:v>
                  </c:pt>
                  <c:pt idx="6">
                    <c:v>16498.37196766194</c:v>
                  </c:pt>
                  <c:pt idx="7">
                    <c:v>19846.075789686987</c:v>
                  </c:pt>
                  <c:pt idx="8">
                    <c:v>19858.800912106115</c:v>
                  </c:pt>
                  <c:pt idx="9">
                    <c:v>12431.758641345425</c:v>
                  </c:pt>
                  <c:pt idx="10">
                    <c:v>2220.058182420752</c:v>
                  </c:pt>
                  <c:pt idx="11">
                    <c:v>3160.2918114207955</c:v>
                  </c:pt>
                </c:numCache>
              </c:numRef>
            </c:plus>
            <c:minus>
              <c:numRef>
                <c:f>'PAX BAS TL+NI'!$H$3:$H$14</c:f>
                <c:numCache>
                  <c:formatCode>General</c:formatCode>
                  <c:ptCount val="12"/>
                  <c:pt idx="0">
                    <c:v>10312.847727470817</c:v>
                  </c:pt>
                  <c:pt idx="1">
                    <c:v>5455.1912279344833</c:v>
                  </c:pt>
                  <c:pt idx="2">
                    <c:v>2637.5889874403606</c:v>
                  </c:pt>
                  <c:pt idx="3">
                    <c:v>8290.0516685161056</c:v>
                  </c:pt>
                  <c:pt idx="4">
                    <c:v>5904.3828000901158</c:v>
                  </c:pt>
                  <c:pt idx="5">
                    <c:v>14435.403570735389</c:v>
                  </c:pt>
                  <c:pt idx="6">
                    <c:v>16498.37196766194</c:v>
                  </c:pt>
                  <c:pt idx="7">
                    <c:v>19846.075789686987</c:v>
                  </c:pt>
                  <c:pt idx="8">
                    <c:v>19858.800912106115</c:v>
                  </c:pt>
                  <c:pt idx="9">
                    <c:v>12431.758641345425</c:v>
                  </c:pt>
                  <c:pt idx="10">
                    <c:v>2220.058182420752</c:v>
                  </c:pt>
                  <c:pt idx="11">
                    <c:v>3160.2918114207955</c:v>
                  </c:pt>
                </c:numCache>
              </c:numRef>
            </c:minus>
          </c:errBars>
          <c:cat>
            <c:strRef>
              <c:f>'PAX BAS TL+NI'!$A$3:$A$14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TL+NI'!$F$3:$F$14</c:f>
              <c:numCache>
                <c:formatCode>#\ ##0\ _€</c:formatCode>
                <c:ptCount val="12"/>
                <c:pt idx="0">
                  <c:v>130707.25</c:v>
                </c:pt>
                <c:pt idx="1">
                  <c:v>116646</c:v>
                </c:pt>
                <c:pt idx="2">
                  <c:v>125061.5</c:v>
                </c:pt>
                <c:pt idx="3">
                  <c:v>122439</c:v>
                </c:pt>
                <c:pt idx="4">
                  <c:v>133471.25</c:v>
                </c:pt>
                <c:pt idx="5">
                  <c:v>127334.75</c:v>
                </c:pt>
                <c:pt idx="6">
                  <c:v>132479.75</c:v>
                </c:pt>
                <c:pt idx="7">
                  <c:v>132541.25</c:v>
                </c:pt>
                <c:pt idx="8">
                  <c:v>132472.5</c:v>
                </c:pt>
                <c:pt idx="9">
                  <c:v>135156.25</c:v>
                </c:pt>
                <c:pt idx="10">
                  <c:v>117188.33333333333</c:v>
                </c:pt>
                <c:pt idx="11">
                  <c:v>124970.66666666667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AF2-49DC-A95B-5837F55F28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9645056"/>
        <c:axId val="379645448"/>
      </c:barChart>
      <c:catAx>
        <c:axId val="37964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79645448"/>
        <c:crosses val="autoZero"/>
        <c:auto val="1"/>
        <c:lblAlgn val="ctr"/>
        <c:lblOffset val="100"/>
        <c:noMultiLvlLbl val="0"/>
      </c:catAx>
      <c:valAx>
        <c:axId val="379645448"/>
        <c:scaling>
          <c:orientation val="minMax"/>
          <c:max val="1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379645056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PAX  </a:t>
            </a:r>
            <a:r>
              <a:rPr lang="en-US" sz="1400"/>
              <a:t>Bastia / Toulon : </a:t>
            </a:r>
            <a:r>
              <a:rPr lang="en-US" sz="1400" b="1" i="0" u="none" strike="noStrike" baseline="0">
                <a:effectLst/>
              </a:rPr>
              <a:t>Capacité / saison</a:t>
            </a:r>
            <a:endParaRPr lang="en-US" sz="1400"/>
          </a:p>
        </c:rich>
      </c:tx>
      <c:layout>
        <c:manualLayout>
          <c:xMode val="edge"/>
          <c:yMode val="edge"/>
          <c:x val="0.214666666666666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10798629337999417"/>
          <c:w val="0.86676324968952845"/>
          <c:h val="0.77603382910469521"/>
        </c:manualLayout>
      </c:layout>
      <c:lineChart>
        <c:grouping val="standard"/>
        <c:varyColors val="0"/>
        <c:ser>
          <c:idx val="1"/>
          <c:order val="0"/>
          <c:tx>
            <c:strRef>
              <c:f>'PAX BAS TL+NI'!$A$18</c:f>
              <c:strCache>
                <c:ptCount val="1"/>
                <c:pt idx="0">
                  <c:v>Haute saison</c:v>
                </c:pt>
              </c:strCache>
            </c:strRef>
          </c:tx>
          <c:marker>
            <c:symbol val="none"/>
          </c:marker>
          <c:cat>
            <c:numRef>
              <c:f>'PAX BAS TL+NI'!$B$2:$D$2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'PAX BAS TL+NI'!$B$18:$E$18</c:f>
              <c:numCache>
                <c:formatCode>#\ ##0\ _€</c:formatCode>
                <c:ptCount val="4"/>
                <c:pt idx="0">
                  <c:v>117508.33333333333</c:v>
                </c:pt>
                <c:pt idx="1">
                  <c:v>122723.16666666667</c:v>
                </c:pt>
                <c:pt idx="2">
                  <c:v>133701.16666666666</c:v>
                </c:pt>
                <c:pt idx="3">
                  <c:v>146559.66666666666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142-47A6-9929-A749E4AF71A1}"/>
            </c:ext>
          </c:extLst>
        </c:ser>
        <c:ser>
          <c:idx val="0"/>
          <c:order val="1"/>
          <c:tx>
            <c:strRef>
              <c:f>'PAX BAS TL+NI'!$A$17</c:f>
              <c:strCache>
                <c:ptCount val="1"/>
                <c:pt idx="0">
                  <c:v>Basse saison</c:v>
                </c:pt>
              </c:strCache>
            </c:strRef>
          </c:tx>
          <c:marker>
            <c:symbol val="none"/>
          </c:marker>
          <c:cat>
            <c:numRef>
              <c:f>'PAX BAS TL+NI'!$B$2:$D$2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'PAX BAS TL+NI'!$B$17:$E$17</c:f>
              <c:numCache>
                <c:formatCode>#\ ##0\ _€</c:formatCode>
                <c:ptCount val="4"/>
                <c:pt idx="0">
                  <c:v>126069.33333333333</c:v>
                </c:pt>
                <c:pt idx="1">
                  <c:v>124811.5</c:v>
                </c:pt>
                <c:pt idx="2">
                  <c:v>124296.16666666667</c:v>
                </c:pt>
                <c:pt idx="3">
                  <c:v>126424.75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142-47A6-9929-A749E4AF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646232"/>
        <c:axId val="379646624"/>
      </c:lineChart>
      <c:catAx>
        <c:axId val="379646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646624"/>
        <c:crosses val="autoZero"/>
        <c:auto val="1"/>
        <c:lblAlgn val="ctr"/>
        <c:lblOffset val="100"/>
        <c:noMultiLvlLbl val="0"/>
      </c:catAx>
      <c:valAx>
        <c:axId val="379646624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79646232"/>
        <c:crosses val="autoZero"/>
        <c:crossBetween val="between"/>
        <c:majorUnit val="40000"/>
      </c:valAx>
    </c:plotArea>
    <c:legend>
      <c:legendPos val="r"/>
      <c:layout>
        <c:manualLayout>
          <c:xMode val="edge"/>
          <c:yMode val="edge"/>
          <c:x val="0.71677605698679292"/>
          <c:y val="0.54047490707956802"/>
          <c:w val="0.24554221347331584"/>
          <c:h val="0.1628047535724701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PAX Bastia / Toulon : </a:t>
            </a:r>
            <a:r>
              <a:rPr lang="en-US" sz="1400" b="1" i="0" u="none" strike="noStrike" baseline="0">
                <a:effectLst/>
              </a:rPr>
              <a:t>Capacité / Réalisée</a:t>
            </a:r>
            <a:endParaRPr lang="en-US" sz="1400"/>
          </a:p>
        </c:rich>
      </c:tx>
      <c:layout>
        <c:manualLayout>
          <c:xMode val="edge"/>
          <c:yMode val="edge"/>
          <c:x val="0.27051302111866521"/>
          <c:y val="1.78970917225950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21536895136430093"/>
          <c:w val="0.86676324968952845"/>
          <c:h val="0.66865120047913484"/>
        </c:manualLayout>
      </c:layout>
      <c:lineChart>
        <c:grouping val="standard"/>
        <c:varyColors val="0"/>
        <c:ser>
          <c:idx val="1"/>
          <c:order val="0"/>
          <c:tx>
            <c:strRef>
              <c:f>'PAX BAS TL+NI'!$A$1</c:f>
              <c:strCache>
                <c:ptCount val="1"/>
                <c:pt idx="0">
                  <c:v>CAPACITE PAX BASTIA TOULON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'PAX BAS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BAS TL+NI'!$B$15:$E$15</c:f>
              <c:numCache>
                <c:formatCode>#\ ##0\ _€</c:formatCode>
                <c:ptCount val="4"/>
                <c:pt idx="0">
                  <c:v>1461466</c:v>
                </c:pt>
                <c:pt idx="1">
                  <c:v>1485208</c:v>
                </c:pt>
                <c:pt idx="2">
                  <c:v>1547984</c:v>
                </c:pt>
                <c:pt idx="3">
                  <c:v>1385057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17-4B40-93C2-EE0097083315}"/>
            </c:ext>
          </c:extLst>
        </c:ser>
        <c:ser>
          <c:idx val="0"/>
          <c:order val="1"/>
          <c:tx>
            <c:strRef>
              <c:f>'PAX BAS TL+NI'!$A$20</c:f>
              <c:strCache>
                <c:ptCount val="1"/>
                <c:pt idx="0">
                  <c:v>PAX REALISE BASTIA TOULON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'PAX BAS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BAS TL+NI'!$B$34:$E$34</c:f>
              <c:numCache>
                <c:formatCode>#\ ##0\ _€</c:formatCode>
                <c:ptCount val="4"/>
                <c:pt idx="0">
                  <c:v>547073</c:v>
                </c:pt>
                <c:pt idx="1">
                  <c:v>519200</c:v>
                </c:pt>
                <c:pt idx="2">
                  <c:v>503913</c:v>
                </c:pt>
                <c:pt idx="3">
                  <c:v>487941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17-4B40-93C2-EE0097083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647408"/>
        <c:axId val="379647800"/>
      </c:lineChart>
      <c:catAx>
        <c:axId val="3796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647800"/>
        <c:crosses val="autoZero"/>
        <c:auto val="1"/>
        <c:lblAlgn val="ctr"/>
        <c:lblOffset val="100"/>
        <c:noMultiLvlLbl val="0"/>
      </c:catAx>
      <c:valAx>
        <c:axId val="379647800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79647408"/>
        <c:crosses val="autoZero"/>
        <c:crossBetween val="between"/>
        <c:majorUnit val="1000000"/>
      </c:valAx>
    </c:plotArea>
    <c:legend>
      <c:legendPos val="r"/>
      <c:layout>
        <c:manualLayout>
          <c:xMode val="edge"/>
          <c:yMode val="edge"/>
          <c:x val="0.17460047278898227"/>
          <c:y val="0.45794958516091527"/>
          <c:w val="0.55875682633078971"/>
          <c:h val="0.19484260188765923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PAX </a:t>
            </a:r>
            <a:r>
              <a:rPr lang="en-US" sz="1400"/>
              <a:t>Ajaccio / Toulon Capacité</a:t>
            </a:r>
            <a:r>
              <a:rPr lang="en-US" sz="1400" b="1" i="0" u="none" strike="noStrike" baseline="0">
                <a:effectLst/>
              </a:rPr>
              <a:t>/ saison</a:t>
            </a:r>
            <a:endParaRPr lang="en-US" sz="1400"/>
          </a:p>
        </c:rich>
      </c:tx>
      <c:layout>
        <c:manualLayout>
          <c:xMode val="edge"/>
          <c:yMode val="edge"/>
          <c:x val="0.214666666666666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10798629337999417"/>
          <c:w val="0.86676324968952845"/>
          <c:h val="0.77603382910469521"/>
        </c:manualLayout>
      </c:layout>
      <c:lineChart>
        <c:grouping val="standard"/>
        <c:varyColors val="0"/>
        <c:ser>
          <c:idx val="1"/>
          <c:order val="0"/>
          <c:tx>
            <c:strRef>
              <c:f>'PAX AJA TL+NI'!$A$18</c:f>
              <c:strCache>
                <c:ptCount val="1"/>
                <c:pt idx="0">
                  <c:v>Haute saison</c:v>
                </c:pt>
              </c:strCache>
            </c:strRef>
          </c:tx>
          <c:marker>
            <c:symbol val="none"/>
          </c:marker>
          <c:cat>
            <c:numRef>
              <c:f>'PAX AJA TL+NI'!$B$2:$E$2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TL+NI'!$B$18:$E$18</c:f>
              <c:numCache>
                <c:formatCode>#\ ##0\ _€</c:formatCode>
                <c:ptCount val="4"/>
                <c:pt idx="0">
                  <c:v>211621</c:v>
                </c:pt>
                <c:pt idx="1">
                  <c:v>213752.33333333334</c:v>
                </c:pt>
                <c:pt idx="2">
                  <c:v>216337.5</c:v>
                </c:pt>
                <c:pt idx="3">
                  <c:v>211841.33333333334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3D-4865-9724-BBCF23CFAADD}"/>
            </c:ext>
          </c:extLst>
        </c:ser>
        <c:ser>
          <c:idx val="0"/>
          <c:order val="1"/>
          <c:tx>
            <c:strRef>
              <c:f>'PAX AJA TL+NI'!$A$17</c:f>
              <c:strCache>
                <c:ptCount val="1"/>
                <c:pt idx="0">
                  <c:v>Basse saison</c:v>
                </c:pt>
              </c:strCache>
            </c:strRef>
          </c:tx>
          <c:marker>
            <c:symbol val="none"/>
          </c:marker>
          <c:cat>
            <c:numRef>
              <c:f>'PAX AJA TL+NI'!$B$2:$E$2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TL+NI'!$B$17:$E$17</c:f>
              <c:numCache>
                <c:formatCode>#\ ##0\ _€</c:formatCode>
                <c:ptCount val="4"/>
                <c:pt idx="0">
                  <c:v>131450.5</c:v>
                </c:pt>
                <c:pt idx="1">
                  <c:v>131808.66666666666</c:v>
                </c:pt>
                <c:pt idx="2">
                  <c:v>135247.5</c:v>
                </c:pt>
                <c:pt idx="3">
                  <c:v>135670.25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03D-4865-9724-BBCF23CFA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765288"/>
        <c:axId val="491766072"/>
      </c:lineChart>
      <c:catAx>
        <c:axId val="491765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1766072"/>
        <c:crosses val="autoZero"/>
        <c:auto val="1"/>
        <c:lblAlgn val="ctr"/>
        <c:lblOffset val="100"/>
        <c:noMultiLvlLbl val="0"/>
      </c:catAx>
      <c:valAx>
        <c:axId val="491766072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491765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6800645531756"/>
          <c:y val="0.73874121439518037"/>
          <c:w val="0.24554221347331584"/>
          <c:h val="0.14891586468358123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BAS TL+NI'!$A$1</c:f>
              <c:strCache>
                <c:ptCount val="1"/>
                <c:pt idx="0">
                  <c:v>CAPACITE PAX BASTIA TOULON</c:v>
                </c:pt>
              </c:strCache>
            </c:strRef>
          </c:tx>
          <c:invertIfNegative val="0"/>
          <c:cat>
            <c:numRef>
              <c:f>'PAX BAS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BAS TL+NI'!$B$15:$E$15</c:f>
              <c:numCache>
                <c:formatCode>#\ ##0\ _€</c:formatCode>
                <c:ptCount val="4"/>
                <c:pt idx="0">
                  <c:v>1461466</c:v>
                </c:pt>
                <c:pt idx="1">
                  <c:v>1485208</c:v>
                </c:pt>
                <c:pt idx="2">
                  <c:v>1547984</c:v>
                </c:pt>
                <c:pt idx="3">
                  <c:v>1385057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6-44CD-978A-882A9A931D7F}"/>
            </c:ext>
          </c:extLst>
        </c:ser>
        <c:ser>
          <c:idx val="1"/>
          <c:order val="1"/>
          <c:tx>
            <c:strRef>
              <c:f>'PAX BAS TL+NI'!$A$20</c:f>
              <c:strCache>
                <c:ptCount val="1"/>
                <c:pt idx="0">
                  <c:v>PAX REALISE BASTIA TOULON</c:v>
                </c:pt>
              </c:strCache>
            </c:strRef>
          </c:tx>
          <c:invertIfNegative val="0"/>
          <c:cat>
            <c:numRef>
              <c:f>'PAX BAS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BAS TL+NI'!$B$34:$E$34</c:f>
              <c:numCache>
                <c:formatCode>#\ ##0\ _€</c:formatCode>
                <c:ptCount val="4"/>
                <c:pt idx="0">
                  <c:v>547073</c:v>
                </c:pt>
                <c:pt idx="1">
                  <c:v>519200</c:v>
                </c:pt>
                <c:pt idx="2">
                  <c:v>503913</c:v>
                </c:pt>
                <c:pt idx="3">
                  <c:v>487941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F6-44CD-978A-882A9A931D7F}"/>
            </c:ext>
          </c:extLst>
        </c:ser>
        <c:ser>
          <c:idx val="2"/>
          <c:order val="2"/>
          <c:tx>
            <c:strRef>
              <c:f>'PAX BAS TL+NI'!$A$56</c:f>
              <c:strCache>
                <c:ptCount val="1"/>
                <c:pt idx="0">
                  <c:v>PAX REALISE  TOULON + MARSEILLE</c:v>
                </c:pt>
              </c:strCache>
            </c:strRef>
          </c:tx>
          <c:invertIfNegative val="0"/>
          <c:cat>
            <c:numRef>
              <c:f>'PAX BAS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BAS TL+NI'!$B$70:$E$70</c:f>
              <c:numCache>
                <c:formatCode>#\ ##0\ _€</c:formatCode>
                <c:ptCount val="4"/>
                <c:pt idx="0">
                  <c:v>800299</c:v>
                </c:pt>
                <c:pt idx="1">
                  <c:v>752725</c:v>
                </c:pt>
                <c:pt idx="2">
                  <c:v>722859</c:v>
                </c:pt>
                <c:pt idx="3">
                  <c:v>687203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F6-44CD-978A-882A9A931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615992"/>
        <c:axId val="379616384"/>
      </c:barChart>
      <c:catAx>
        <c:axId val="379615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616384"/>
        <c:crosses val="autoZero"/>
        <c:auto val="1"/>
        <c:lblAlgn val="ctr"/>
        <c:lblOffset val="100"/>
        <c:noMultiLvlLbl val="0"/>
      </c:catAx>
      <c:valAx>
        <c:axId val="379616384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crossAx val="379615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SOLDE OFFRE CAPACITAIRE (TOULON+NICE) - REALISE (TOULON + MARSEILLE+NICE)</a:t>
            </a:r>
          </a:p>
        </c:rich>
      </c:tx>
      <c:layout>
        <c:manualLayout>
          <c:xMode val="edge"/>
          <c:yMode val="edge"/>
          <c:x val="0.11404683133860791"/>
          <c:y val="5.7196144777178513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BAS TL+NI'!$K$21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'PAX BAS TL+NI'!$J$22:$J$33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TL+NI'!$K$22:$K$33</c:f>
              <c:numCache>
                <c:formatCode>#,##0</c:formatCode>
                <c:ptCount val="12"/>
                <c:pt idx="0">
                  <c:v>142512</c:v>
                </c:pt>
                <c:pt idx="1">
                  <c:v>119576</c:v>
                </c:pt>
                <c:pt idx="2">
                  <c:v>124737</c:v>
                </c:pt>
                <c:pt idx="3">
                  <c:v>103679</c:v>
                </c:pt>
                <c:pt idx="4">
                  <c:v>103905</c:v>
                </c:pt>
                <c:pt idx="5">
                  <c:v>110312</c:v>
                </c:pt>
                <c:pt idx="6">
                  <c:v>83033</c:v>
                </c:pt>
                <c:pt idx="7">
                  <c:v>15225</c:v>
                </c:pt>
                <c:pt idx="8">
                  <c:v>107108</c:v>
                </c:pt>
                <c:pt idx="9">
                  <c:v>98449</c:v>
                </c:pt>
                <c:pt idx="10">
                  <c:v>115094</c:v>
                </c:pt>
                <c:pt idx="11">
                  <c:v>110877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95-4BBA-84CD-B8F7A96F21D9}"/>
            </c:ext>
          </c:extLst>
        </c:ser>
        <c:ser>
          <c:idx val="1"/>
          <c:order val="1"/>
          <c:tx>
            <c:strRef>
              <c:f>'PAX BAS TL+NI'!$L$21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'PAX BAS TL+NI'!$J$22:$J$33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TL+NI'!$L$22:$L$33</c:f>
              <c:numCache>
                <c:formatCode>#,##0</c:formatCode>
                <c:ptCount val="12"/>
                <c:pt idx="0">
                  <c:v>128793</c:v>
                </c:pt>
                <c:pt idx="1">
                  <c:v>111317</c:v>
                </c:pt>
                <c:pt idx="2">
                  <c:v>120859</c:v>
                </c:pt>
                <c:pt idx="3">
                  <c:v>119903</c:v>
                </c:pt>
                <c:pt idx="4">
                  <c:v>126708</c:v>
                </c:pt>
                <c:pt idx="5">
                  <c:v>133592</c:v>
                </c:pt>
                <c:pt idx="6">
                  <c:v>74951</c:v>
                </c:pt>
                <c:pt idx="7">
                  <c:v>29668</c:v>
                </c:pt>
                <c:pt idx="8">
                  <c:v>118821</c:v>
                </c:pt>
                <c:pt idx="9">
                  <c:v>118232</c:v>
                </c:pt>
                <c:pt idx="10">
                  <c:v>128695</c:v>
                </c:pt>
                <c:pt idx="11">
                  <c:v>120834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95-4BBA-84CD-B8F7A96F21D9}"/>
            </c:ext>
          </c:extLst>
        </c:ser>
        <c:ser>
          <c:idx val="2"/>
          <c:order val="2"/>
          <c:tx>
            <c:strRef>
              <c:f>'PAX BAS TL+NI'!$M$21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'PAX BAS TL+NI'!$J$22:$J$33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TL+NI'!$M$22:$M$33</c:f>
              <c:numCache>
                <c:formatCode>#,##0</c:formatCode>
                <c:ptCount val="12"/>
                <c:pt idx="0">
                  <c:v>150083</c:v>
                </c:pt>
                <c:pt idx="1">
                  <c:v>123517</c:v>
                </c:pt>
                <c:pt idx="2">
                  <c:v>130061</c:v>
                </c:pt>
                <c:pt idx="3">
                  <c:v>141897</c:v>
                </c:pt>
                <c:pt idx="4">
                  <c:v>126859</c:v>
                </c:pt>
                <c:pt idx="5">
                  <c:v>199519</c:v>
                </c:pt>
                <c:pt idx="6">
                  <c:v>177876</c:v>
                </c:pt>
                <c:pt idx="7">
                  <c:v>97744</c:v>
                </c:pt>
                <c:pt idx="8">
                  <c:v>134003</c:v>
                </c:pt>
                <c:pt idx="9">
                  <c:v>100943</c:v>
                </c:pt>
                <c:pt idx="10">
                  <c:v>141024</c:v>
                </c:pt>
                <c:pt idx="11">
                  <c:v>141972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395-4BBA-84CD-B8F7A96F21D9}"/>
            </c:ext>
          </c:extLst>
        </c:ser>
        <c:ser>
          <c:idx val="3"/>
          <c:order val="3"/>
          <c:tx>
            <c:strRef>
              <c:f>'PAX BAS TL+NI'!$N$21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'PAX BAS TL+NI'!$J$22:$J$33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TL+NI'!$N$22:$N$33</c:f>
              <c:numCache>
                <c:formatCode>#,##0</c:formatCode>
                <c:ptCount val="12"/>
                <c:pt idx="0">
                  <c:v>128797.33333333334</c:v>
                </c:pt>
                <c:pt idx="1">
                  <c:v>114973.33333333334</c:v>
                </c:pt>
                <c:pt idx="2">
                  <c:v>128307</c:v>
                </c:pt>
                <c:pt idx="3">
                  <c:v>125148.33333333331</c:v>
                </c:pt>
                <c:pt idx="4">
                  <c:v>133369</c:v>
                </c:pt>
                <c:pt idx="5">
                  <c:v>153566</c:v>
                </c:pt>
                <c:pt idx="6">
                  <c:v>132408.33333333337</c:v>
                </c:pt>
                <c:pt idx="7">
                  <c:v>73841</c:v>
                </c:pt>
                <c:pt idx="8">
                  <c:v>143386</c:v>
                </c:pt>
                <c:pt idx="9">
                  <c:v>128552.66666666666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395-4BBA-84CD-B8F7A96F2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617168"/>
        <c:axId val="379617560"/>
      </c:barChart>
      <c:catAx>
        <c:axId val="3796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617560"/>
        <c:crosses val="autoZero"/>
        <c:auto val="1"/>
        <c:lblAlgn val="ctr"/>
        <c:lblOffset val="100"/>
        <c:noMultiLvlLbl val="0"/>
      </c:catAx>
      <c:valAx>
        <c:axId val="379617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961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BESOIN SERVICE PUBLIC PAX TOULON+NICE - BASTIA  (2014-2017)</a:t>
            </a:r>
          </a:p>
        </c:rich>
      </c:tx>
      <c:layout>
        <c:manualLayout>
          <c:xMode val="edge"/>
          <c:yMode val="edge"/>
          <c:x val="0.10597731412815177"/>
          <c:y val="0.87120424594660484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BAS TL+NI'!$K$40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'PAX BAS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TL+NI'!$K$41:$K$52</c:f>
              <c:numCache>
                <c:formatCode>#,##0</c:formatCode>
                <c:ptCount val="12"/>
                <c:pt idx="0">
                  <c:v>-142512</c:v>
                </c:pt>
                <c:pt idx="1">
                  <c:v>-119576</c:v>
                </c:pt>
                <c:pt idx="2">
                  <c:v>-124737</c:v>
                </c:pt>
                <c:pt idx="3">
                  <c:v>-103679</c:v>
                </c:pt>
                <c:pt idx="4">
                  <c:v>-103905</c:v>
                </c:pt>
                <c:pt idx="5">
                  <c:v>-110312</c:v>
                </c:pt>
                <c:pt idx="6">
                  <c:v>-83033</c:v>
                </c:pt>
                <c:pt idx="7">
                  <c:v>-15225</c:v>
                </c:pt>
                <c:pt idx="8">
                  <c:v>-107108</c:v>
                </c:pt>
                <c:pt idx="9">
                  <c:v>-98449</c:v>
                </c:pt>
                <c:pt idx="10">
                  <c:v>-115094</c:v>
                </c:pt>
                <c:pt idx="11">
                  <c:v>-110877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E6-4647-B4FD-0152F684FE7B}"/>
            </c:ext>
          </c:extLst>
        </c:ser>
        <c:ser>
          <c:idx val="1"/>
          <c:order val="1"/>
          <c:tx>
            <c:strRef>
              <c:f>'PAX BAS TL+NI'!$L$40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'PAX BAS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TL+NI'!$L$41:$L$52</c:f>
              <c:numCache>
                <c:formatCode>#,##0</c:formatCode>
                <c:ptCount val="12"/>
                <c:pt idx="0">
                  <c:v>-128793</c:v>
                </c:pt>
                <c:pt idx="1">
                  <c:v>-111317</c:v>
                </c:pt>
                <c:pt idx="2">
                  <c:v>-120859</c:v>
                </c:pt>
                <c:pt idx="3">
                  <c:v>-119903</c:v>
                </c:pt>
                <c:pt idx="4">
                  <c:v>-126708</c:v>
                </c:pt>
                <c:pt idx="5">
                  <c:v>-133592</c:v>
                </c:pt>
                <c:pt idx="6">
                  <c:v>-74951</c:v>
                </c:pt>
                <c:pt idx="7">
                  <c:v>-29668</c:v>
                </c:pt>
                <c:pt idx="8">
                  <c:v>-118821</c:v>
                </c:pt>
                <c:pt idx="9">
                  <c:v>-118232</c:v>
                </c:pt>
                <c:pt idx="10">
                  <c:v>-128695</c:v>
                </c:pt>
                <c:pt idx="11">
                  <c:v>-120834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E6-4647-B4FD-0152F684FE7B}"/>
            </c:ext>
          </c:extLst>
        </c:ser>
        <c:ser>
          <c:idx val="2"/>
          <c:order val="2"/>
          <c:tx>
            <c:strRef>
              <c:f>'PAX BAS TL+NI'!$M$40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'PAX BAS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TL+NI'!$M$41:$M$52</c:f>
              <c:numCache>
                <c:formatCode>#,##0</c:formatCode>
                <c:ptCount val="12"/>
                <c:pt idx="0">
                  <c:v>-150083</c:v>
                </c:pt>
                <c:pt idx="1">
                  <c:v>-123517</c:v>
                </c:pt>
                <c:pt idx="2">
                  <c:v>-130061</c:v>
                </c:pt>
                <c:pt idx="3">
                  <c:v>-141897</c:v>
                </c:pt>
                <c:pt idx="4">
                  <c:v>-126859</c:v>
                </c:pt>
                <c:pt idx="5">
                  <c:v>-199519</c:v>
                </c:pt>
                <c:pt idx="6">
                  <c:v>-177876</c:v>
                </c:pt>
                <c:pt idx="7">
                  <c:v>-97744</c:v>
                </c:pt>
                <c:pt idx="8">
                  <c:v>-134003</c:v>
                </c:pt>
                <c:pt idx="9">
                  <c:v>-100943</c:v>
                </c:pt>
                <c:pt idx="10">
                  <c:v>-141024</c:v>
                </c:pt>
                <c:pt idx="11">
                  <c:v>-141972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E6-4647-B4FD-0152F684FE7B}"/>
            </c:ext>
          </c:extLst>
        </c:ser>
        <c:ser>
          <c:idx val="3"/>
          <c:order val="3"/>
          <c:tx>
            <c:strRef>
              <c:f>'PAX BAS TL+NI'!$N$40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'PAX BAS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BAS TL+NI'!$N$41:$N$52</c:f>
              <c:numCache>
                <c:formatCode>#,##0</c:formatCode>
                <c:ptCount val="12"/>
                <c:pt idx="0">
                  <c:v>-128797.33333333334</c:v>
                </c:pt>
                <c:pt idx="1">
                  <c:v>-114973.33333333334</c:v>
                </c:pt>
                <c:pt idx="2">
                  <c:v>-128307</c:v>
                </c:pt>
                <c:pt idx="3">
                  <c:v>-125148.33333333331</c:v>
                </c:pt>
                <c:pt idx="4">
                  <c:v>-133369</c:v>
                </c:pt>
                <c:pt idx="5">
                  <c:v>-153566</c:v>
                </c:pt>
                <c:pt idx="6">
                  <c:v>-132408.33333333337</c:v>
                </c:pt>
                <c:pt idx="7">
                  <c:v>-73841</c:v>
                </c:pt>
                <c:pt idx="8">
                  <c:v>-143386</c:v>
                </c:pt>
                <c:pt idx="9">
                  <c:v>-128552.66666666666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E6-4647-B4FD-0152F684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618344"/>
        <c:axId val="379618736"/>
      </c:barChart>
      <c:catAx>
        <c:axId val="379618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9618736"/>
        <c:crosses val="autoZero"/>
        <c:auto val="1"/>
        <c:lblAlgn val="ctr"/>
        <c:lblOffset val="100"/>
        <c:noMultiLvlLbl val="0"/>
      </c:catAx>
      <c:valAx>
        <c:axId val="379618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9618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Capacité ROLL moyenne </a:t>
            </a:r>
            <a:r>
              <a:rPr lang="en-US" sz="1400"/>
              <a:t>Bastia / Toulon </a:t>
            </a:r>
          </a:p>
          <a:p>
            <a:pPr>
              <a:defRPr sz="1400"/>
            </a:pPr>
            <a:r>
              <a:rPr lang="en-US" sz="1400"/>
              <a:t>2014-2017</a:t>
            </a:r>
          </a:p>
        </c:rich>
      </c:tx>
      <c:layout>
        <c:manualLayout>
          <c:xMode val="edge"/>
          <c:yMode val="edge"/>
          <c:x val="0.21716212103921798"/>
          <c:y val="1.286340800999070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804970431157401"/>
          <c:y val="0.16525395280325408"/>
          <c:w val="0.85672885997945913"/>
          <c:h val="0.77606800739436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AE4-457F-B7C7-3842EEBC042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AE4-457F-B7C7-3842EEBC042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AE4-457F-B7C7-3842EEBC042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AE4-457F-B7C7-3842EEBC042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AE4-457F-B7C7-3842EEBC042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AE4-457F-B7C7-3842EEBC042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AAE4-457F-B7C7-3842EEBC042B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AAE4-457F-B7C7-3842EEBC042B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'ROLL+VL BAS TL+NI'!$G$3:$G$14</c:f>
                <c:numCache>
                  <c:formatCode>General</c:formatCode>
                  <c:ptCount val="12"/>
                  <c:pt idx="0">
                    <c:v>2053.3705624330601</c:v>
                  </c:pt>
                  <c:pt idx="1">
                    <c:v>2839.9211327077451</c:v>
                  </c:pt>
                  <c:pt idx="2">
                    <c:v>1321.6386798213805</c:v>
                  </c:pt>
                  <c:pt idx="3">
                    <c:v>426.48008941410899</c:v>
                  </c:pt>
                  <c:pt idx="4">
                    <c:v>449.54203362978149</c:v>
                  </c:pt>
                  <c:pt idx="5">
                    <c:v>410.73450695065719</c:v>
                  </c:pt>
                  <c:pt idx="6">
                    <c:v>907.3764352241019</c:v>
                  </c:pt>
                  <c:pt idx="7">
                    <c:v>916.60715249227519</c:v>
                  </c:pt>
                  <c:pt idx="8">
                    <c:v>4386.3636637196287</c:v>
                  </c:pt>
                  <c:pt idx="9">
                    <c:v>6020.040782807605</c:v>
                  </c:pt>
                  <c:pt idx="10">
                    <c:v>1526.3812891934972</c:v>
                  </c:pt>
                  <c:pt idx="11">
                    <c:v>783.21841994001477</c:v>
                  </c:pt>
                </c:numCache>
              </c:numRef>
            </c:plus>
            <c:minus>
              <c:numRef>
                <c:f>'ROLL+VL BAS TL+NI'!$H$3:$H$14</c:f>
                <c:numCache>
                  <c:formatCode>General</c:formatCode>
                  <c:ptCount val="12"/>
                  <c:pt idx="0">
                    <c:v>2053.3705624330601</c:v>
                  </c:pt>
                  <c:pt idx="1">
                    <c:v>2839.9211327077451</c:v>
                  </c:pt>
                  <c:pt idx="2">
                    <c:v>1321.6386798213805</c:v>
                  </c:pt>
                  <c:pt idx="3">
                    <c:v>426.48008941410899</c:v>
                  </c:pt>
                  <c:pt idx="4">
                    <c:v>449.54203362978149</c:v>
                  </c:pt>
                  <c:pt idx="5">
                    <c:v>410.73450695065719</c:v>
                  </c:pt>
                  <c:pt idx="6">
                    <c:v>907.3764352241019</c:v>
                  </c:pt>
                  <c:pt idx="7">
                    <c:v>916.60715249227519</c:v>
                  </c:pt>
                  <c:pt idx="8">
                    <c:v>4386.3636637196287</c:v>
                  </c:pt>
                  <c:pt idx="9">
                    <c:v>6020.040782807605</c:v>
                  </c:pt>
                  <c:pt idx="10">
                    <c:v>1526.3812891934972</c:v>
                  </c:pt>
                  <c:pt idx="11">
                    <c:v>783.21841994001477</c:v>
                  </c:pt>
                </c:numCache>
              </c:numRef>
            </c:minus>
          </c:errBars>
          <c:cat>
            <c:strRef>
              <c:f>'ROLL+VL BAS TL+NI'!$A$3:$A$14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TL+NI'!$F$3:$F$14</c:f>
              <c:numCache>
                <c:formatCode>#\ ##0\ _€</c:formatCode>
                <c:ptCount val="12"/>
                <c:pt idx="0">
                  <c:v>22191.600000000002</c:v>
                </c:pt>
                <c:pt idx="1">
                  <c:v>23083.1</c:v>
                </c:pt>
                <c:pt idx="2">
                  <c:v>27724.6</c:v>
                </c:pt>
                <c:pt idx="3">
                  <c:v>25131.300000000003</c:v>
                </c:pt>
                <c:pt idx="4">
                  <c:v>15631.259999999998</c:v>
                </c:pt>
                <c:pt idx="5">
                  <c:v>15282.960000000001</c:v>
                </c:pt>
                <c:pt idx="6">
                  <c:v>16385.219999999998</c:v>
                </c:pt>
                <c:pt idx="7">
                  <c:v>16346.04</c:v>
                </c:pt>
                <c:pt idx="8">
                  <c:v>17155.86</c:v>
                </c:pt>
                <c:pt idx="9">
                  <c:v>27974.5</c:v>
                </c:pt>
                <c:pt idx="10">
                  <c:v>27904</c:v>
                </c:pt>
                <c:pt idx="11">
                  <c:v>25537.066666666666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AE4-457F-B7C7-3842EEBC04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9619520"/>
        <c:axId val="384451928"/>
      </c:barChart>
      <c:catAx>
        <c:axId val="3796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84451928"/>
        <c:crosses val="autoZero"/>
        <c:auto val="1"/>
        <c:lblAlgn val="ctr"/>
        <c:lblOffset val="100"/>
        <c:noMultiLvlLbl val="0"/>
      </c:catAx>
      <c:valAx>
        <c:axId val="384451928"/>
        <c:scaling>
          <c:orientation val="minMax"/>
          <c:max val="1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379619520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ROLL </a:t>
            </a:r>
            <a:r>
              <a:rPr lang="en-US" sz="1400"/>
              <a:t>Bastia / Toulon : </a:t>
            </a:r>
            <a:r>
              <a:rPr lang="en-US" sz="1400" b="1" i="0" u="none" strike="noStrike" baseline="0">
                <a:effectLst/>
              </a:rPr>
              <a:t>Capacité/ saison</a:t>
            </a:r>
            <a:endParaRPr lang="en-US" sz="1400"/>
          </a:p>
        </c:rich>
      </c:tx>
      <c:layout>
        <c:manualLayout>
          <c:xMode val="edge"/>
          <c:yMode val="edge"/>
          <c:x val="0.214666666666666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10798629337999417"/>
          <c:w val="0.86676324968952845"/>
          <c:h val="0.77603382910469521"/>
        </c:manualLayout>
      </c:layout>
      <c:lineChart>
        <c:grouping val="standard"/>
        <c:varyColors val="0"/>
        <c:ser>
          <c:idx val="1"/>
          <c:order val="0"/>
          <c:tx>
            <c:strRef>
              <c:f>'ROLL+VL BAS TL+NI'!$A$18</c:f>
              <c:strCache>
                <c:ptCount val="1"/>
                <c:pt idx="0">
                  <c:v>Haute saison</c:v>
                </c:pt>
              </c:strCache>
            </c:strRef>
          </c:tx>
          <c:marker>
            <c:symbol val="none"/>
          </c:marker>
          <c:cat>
            <c:numRef>
              <c:f>'ROLL+VL BAS TL+NI'!$B$2:$E$2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BAS TL+NI'!$B$18:$E$18</c:f>
              <c:numCache>
                <c:formatCode>#\ ##0\ _€</c:formatCode>
                <c:ptCount val="4"/>
                <c:pt idx="0">
                  <c:v>17198.079999999998</c:v>
                </c:pt>
                <c:pt idx="1">
                  <c:v>17344.48</c:v>
                </c:pt>
                <c:pt idx="2">
                  <c:v>17006.853333333333</c:v>
                </c:pt>
                <c:pt idx="3">
                  <c:v>19072.346666666665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DA6-4D26-8296-F586833DC9B6}"/>
            </c:ext>
          </c:extLst>
        </c:ser>
        <c:ser>
          <c:idx val="0"/>
          <c:order val="1"/>
          <c:tx>
            <c:strRef>
              <c:f>'ROLL+VL BAS TL+NI'!$A$17</c:f>
              <c:strCache>
                <c:ptCount val="1"/>
                <c:pt idx="0">
                  <c:v>Basse saison</c:v>
                </c:pt>
              </c:strCache>
            </c:strRef>
          </c:tx>
          <c:marker>
            <c:symbol val="none"/>
          </c:marker>
          <c:cat>
            <c:numRef>
              <c:f>'ROLL+VL BAS TL+NI'!$B$2:$E$2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BAS TL+NI'!$B$17:$E$17</c:f>
              <c:numCache>
                <c:formatCode>#\ ##0\ _€</c:formatCode>
                <c:ptCount val="4"/>
                <c:pt idx="0">
                  <c:v>26411.066666666666</c:v>
                </c:pt>
                <c:pt idx="1">
                  <c:v>25705.733333333334</c:v>
                </c:pt>
                <c:pt idx="2">
                  <c:v>24503.733333333334</c:v>
                </c:pt>
                <c:pt idx="3">
                  <c:v>26123.8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DA6-4D26-8296-F586833D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452712"/>
        <c:axId val="384453104"/>
      </c:lineChart>
      <c:catAx>
        <c:axId val="38445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453104"/>
        <c:crosses val="autoZero"/>
        <c:auto val="1"/>
        <c:lblAlgn val="ctr"/>
        <c:lblOffset val="100"/>
        <c:noMultiLvlLbl val="0"/>
      </c:catAx>
      <c:valAx>
        <c:axId val="384453104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84452712"/>
        <c:crosses val="autoZero"/>
        <c:crossBetween val="between"/>
        <c:majorUnit val="40000"/>
      </c:valAx>
    </c:plotArea>
    <c:legend>
      <c:legendPos val="r"/>
      <c:layout>
        <c:manualLayout>
          <c:xMode val="edge"/>
          <c:yMode val="edge"/>
          <c:x val="0.74237232920214025"/>
          <c:y val="0.71944582430551884"/>
          <c:w val="0.24554221347331584"/>
          <c:h val="0.1628047535724701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ROLL </a:t>
            </a:r>
            <a:r>
              <a:rPr lang="en-US" sz="1400"/>
              <a:t>Bastia / Toulon : </a:t>
            </a:r>
            <a:r>
              <a:rPr lang="en-US" sz="1400" b="1" i="0" u="none" strike="noStrike" baseline="0">
                <a:effectLst/>
              </a:rPr>
              <a:t>Capacité  / Réalisée</a:t>
            </a:r>
            <a:endParaRPr lang="en-US" sz="1400"/>
          </a:p>
        </c:rich>
      </c:tx>
      <c:layout>
        <c:manualLayout>
          <c:xMode val="edge"/>
          <c:yMode val="edge"/>
          <c:x val="0.27051302111866521"/>
          <c:y val="1.78970917225950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21536895136430093"/>
          <c:w val="0.86676324968952845"/>
          <c:h val="0.66865120047913484"/>
        </c:manualLayout>
      </c:layout>
      <c:lineChart>
        <c:grouping val="standard"/>
        <c:varyColors val="0"/>
        <c:ser>
          <c:idx val="1"/>
          <c:order val="0"/>
          <c:tx>
            <c:strRef>
              <c:f>'ROLL+VL BAS TL+NI'!$A$1</c:f>
              <c:strCache>
                <c:ptCount val="1"/>
                <c:pt idx="0">
                  <c:v>CAPACITE  ROLL BASTIA TOULON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'ROLL+VL BAS TL+NI'!$B$15:$E$15</c:f>
              <c:numCache>
                <c:formatCode>#\ ##0\ _€</c:formatCode>
                <c:ptCount val="4"/>
                <c:pt idx="0">
                  <c:v>261654.87999999998</c:v>
                </c:pt>
                <c:pt idx="1">
                  <c:v>258301.28</c:v>
                </c:pt>
                <c:pt idx="2">
                  <c:v>249063.52</c:v>
                </c:pt>
                <c:pt idx="3">
                  <c:v>218929.28000000003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9C-4320-A959-F69B5987893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1"/>
          <c:tx>
            <c:strRef>
              <c:f>'ROLL+VL BAS TL+NI'!$A$20</c:f>
              <c:strCache>
                <c:ptCount val="1"/>
                <c:pt idx="0">
                  <c:v>ROLL REALISE BASTIA TOULON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'ROLL+VL BAS TL+NI'!$B$34:$E$34</c:f>
              <c:numCache>
                <c:formatCode>#\ ##0\ _€</c:formatCode>
                <c:ptCount val="4"/>
                <c:pt idx="0">
                  <c:v>354387</c:v>
                </c:pt>
                <c:pt idx="1">
                  <c:v>293475</c:v>
                </c:pt>
                <c:pt idx="2">
                  <c:v>243520</c:v>
                </c:pt>
                <c:pt idx="3">
                  <c:v>194973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9C-4320-A959-F69B5987893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453888"/>
        <c:axId val="384454280"/>
      </c:lineChart>
      <c:catAx>
        <c:axId val="3844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454280"/>
        <c:crosses val="autoZero"/>
        <c:auto val="1"/>
        <c:lblAlgn val="ctr"/>
        <c:lblOffset val="100"/>
        <c:noMultiLvlLbl val="0"/>
      </c:catAx>
      <c:valAx>
        <c:axId val="384454280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84453888"/>
        <c:crosses val="autoZero"/>
        <c:crossBetween val="between"/>
        <c:majorUnit val="1000000"/>
      </c:valAx>
    </c:plotArea>
    <c:legend>
      <c:legendPos val="r"/>
      <c:layout>
        <c:manualLayout>
          <c:xMode val="edge"/>
          <c:yMode val="edge"/>
          <c:x val="0.19561735772731451"/>
          <c:y val="0.25950262217334646"/>
          <c:w val="0.55875682633078971"/>
          <c:h val="0.19484260188765923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BAS TL+NI'!$A$1</c:f>
              <c:strCache>
                <c:ptCount val="1"/>
                <c:pt idx="0">
                  <c:v>CAPACITE  ROLL BASTIA TOULON</c:v>
                </c:pt>
              </c:strCache>
            </c:strRef>
          </c:tx>
          <c:invertIfNegative val="0"/>
          <c:cat>
            <c:numRef>
              <c:f>'ROLL+VL BAS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BAS TL+NI'!$B$15:$E$15</c:f>
              <c:numCache>
                <c:formatCode>#\ ##0\ _€</c:formatCode>
                <c:ptCount val="4"/>
                <c:pt idx="0">
                  <c:v>261654.87999999998</c:v>
                </c:pt>
                <c:pt idx="1">
                  <c:v>258301.28</c:v>
                </c:pt>
                <c:pt idx="2">
                  <c:v>249063.52</c:v>
                </c:pt>
                <c:pt idx="3">
                  <c:v>218929.28000000003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66-470F-9EF2-2450F284A2F2}"/>
            </c:ext>
          </c:extLst>
        </c:ser>
        <c:ser>
          <c:idx val="1"/>
          <c:order val="1"/>
          <c:tx>
            <c:strRef>
              <c:f>'ROLL+VL BAS TL+NI'!$A$20</c:f>
              <c:strCache>
                <c:ptCount val="1"/>
                <c:pt idx="0">
                  <c:v>ROLL REALISE BASTIA TOULON</c:v>
                </c:pt>
              </c:strCache>
            </c:strRef>
          </c:tx>
          <c:invertIfNegative val="0"/>
          <c:cat>
            <c:numRef>
              <c:f>'ROLL+VL BAS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BAS TL+NI'!$B$34:$E$34</c:f>
              <c:numCache>
                <c:formatCode>#\ ##0\ _€</c:formatCode>
                <c:ptCount val="4"/>
                <c:pt idx="0">
                  <c:v>354387</c:v>
                </c:pt>
                <c:pt idx="1">
                  <c:v>293475</c:v>
                </c:pt>
                <c:pt idx="2">
                  <c:v>243520</c:v>
                </c:pt>
                <c:pt idx="3">
                  <c:v>194973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66-470F-9EF2-2450F284A2F2}"/>
            </c:ext>
          </c:extLst>
        </c:ser>
        <c:ser>
          <c:idx val="2"/>
          <c:order val="2"/>
          <c:tx>
            <c:strRef>
              <c:f>'ROLL+VL BAS TL+NI'!$A$56</c:f>
              <c:strCache>
                <c:ptCount val="1"/>
                <c:pt idx="0">
                  <c:v>ROLL REALISE TOULON + MARSEILLE</c:v>
                </c:pt>
              </c:strCache>
            </c:strRef>
          </c:tx>
          <c:invertIfNegative val="0"/>
          <c:cat>
            <c:numRef>
              <c:f>'ROLL+VL BAS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BAS TL+NI'!$B$70:$E$70</c:f>
              <c:numCache>
                <c:formatCode>#\ ##0\ _€</c:formatCode>
                <c:ptCount val="4"/>
                <c:pt idx="0">
                  <c:v>1011582</c:v>
                </c:pt>
                <c:pt idx="1">
                  <c:v>1012566</c:v>
                </c:pt>
                <c:pt idx="2">
                  <c:v>1010114</c:v>
                </c:pt>
                <c:pt idx="3">
                  <c:v>881836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66-470F-9EF2-2450F284A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455064"/>
        <c:axId val="384455456"/>
      </c:barChart>
      <c:catAx>
        <c:axId val="38445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455456"/>
        <c:crosses val="autoZero"/>
        <c:auto val="1"/>
        <c:lblAlgn val="ctr"/>
        <c:lblOffset val="100"/>
        <c:noMultiLvlLbl val="0"/>
      </c:catAx>
      <c:valAx>
        <c:axId val="384455456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crossAx val="384455064"/>
        <c:crosses val="autoZero"/>
        <c:crossBetween val="between"/>
        <c:majorUnit val="40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Capacité ROLL moyenne </a:t>
            </a:r>
            <a:r>
              <a:rPr lang="en-US" sz="1400"/>
              <a:t>Ajaccio / Toulon</a:t>
            </a:r>
          </a:p>
          <a:p>
            <a:pPr>
              <a:defRPr sz="1400"/>
            </a:pPr>
            <a:r>
              <a:rPr lang="en-US" sz="1400"/>
              <a:t> 2014-2017</a:t>
            </a:r>
          </a:p>
          <a:p>
            <a:pPr>
              <a:defRPr sz="1400"/>
            </a:pPr>
            <a:endParaRPr lang="en-US" sz="1400"/>
          </a:p>
        </c:rich>
      </c:tx>
      <c:layout>
        <c:manualLayout>
          <c:xMode val="edge"/>
          <c:yMode val="edge"/>
          <c:x val="0.14228289398607782"/>
          <c:y val="1.67450170989464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53200958575833"/>
          <c:y val="0.13388528217703724"/>
          <c:w val="0.85672885997945913"/>
          <c:h val="0.77606800739436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F9E-4D01-9450-2D7B1DA090C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F9E-4D01-9450-2D7B1DA090C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F9E-4D01-9450-2D7B1DA090C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F9E-4D01-9450-2D7B1DA090C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F9E-4D01-9450-2D7B1DA090C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F9E-4D01-9450-2D7B1DA090C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CF9E-4D01-9450-2D7B1DA090C8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F9E-4D01-9450-2D7B1DA090C8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'ROLL+VL AJA TL+NI '!$G$3:$G$14</c:f>
                <c:numCache>
                  <c:formatCode>General</c:formatCode>
                  <c:ptCount val="12"/>
                  <c:pt idx="0">
                    <c:v>1161.7411071318784</c:v>
                  </c:pt>
                  <c:pt idx="1">
                    <c:v>1987.4482936670311</c:v>
                  </c:pt>
                  <c:pt idx="2">
                    <c:v>2040.1930202801893</c:v>
                  </c:pt>
                  <c:pt idx="3">
                    <c:v>2192.1943709443285</c:v>
                  </c:pt>
                  <c:pt idx="4">
                    <c:v>4424.2881542684545</c:v>
                  </c:pt>
                  <c:pt idx="5">
                    <c:v>2378.890737465676</c:v>
                  </c:pt>
                  <c:pt idx="6">
                    <c:v>2097.5843706511555</c:v>
                  </c:pt>
                  <c:pt idx="7">
                    <c:v>3796.4029697596684</c:v>
                  </c:pt>
                  <c:pt idx="8">
                    <c:v>257.73112501209516</c:v>
                  </c:pt>
                  <c:pt idx="9">
                    <c:v>3480.8217956875205</c:v>
                  </c:pt>
                  <c:pt idx="10">
                    <c:v>1399.166094500579</c:v>
                  </c:pt>
                  <c:pt idx="11">
                    <c:v>2978.3090325440253</c:v>
                  </c:pt>
                </c:numCache>
              </c:numRef>
            </c:plus>
            <c:minus>
              <c:numRef>
                <c:f>'ROLL+VL AJA TL+NI '!$H$3:$H$14</c:f>
                <c:numCache>
                  <c:formatCode>General</c:formatCode>
                  <c:ptCount val="12"/>
                  <c:pt idx="0">
                    <c:v>1161.7411071318784</c:v>
                  </c:pt>
                  <c:pt idx="1">
                    <c:v>1987.4482936670311</c:v>
                  </c:pt>
                  <c:pt idx="2">
                    <c:v>2040.1930202801893</c:v>
                  </c:pt>
                  <c:pt idx="3">
                    <c:v>2192.1943709443285</c:v>
                  </c:pt>
                  <c:pt idx="4">
                    <c:v>4424.2881542684545</c:v>
                  </c:pt>
                  <c:pt idx="5">
                    <c:v>2378.890737465676</c:v>
                  </c:pt>
                  <c:pt idx="6">
                    <c:v>2097.5843706511555</c:v>
                  </c:pt>
                  <c:pt idx="7">
                    <c:v>3796.4029697596684</c:v>
                  </c:pt>
                  <c:pt idx="8">
                    <c:v>257.73112501209516</c:v>
                  </c:pt>
                  <c:pt idx="9">
                    <c:v>3480.8217956875205</c:v>
                  </c:pt>
                  <c:pt idx="10">
                    <c:v>1399.166094500579</c:v>
                  </c:pt>
                  <c:pt idx="11">
                    <c:v>2978.3090325440253</c:v>
                  </c:pt>
                </c:numCache>
              </c:numRef>
            </c:minus>
          </c:errBars>
          <c:cat>
            <c:strRef>
              <c:f>'ROLL+VL AJA TL+NI '!$A$3:$A$14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'!$F$3:$F$14</c:f>
              <c:numCache>
                <c:formatCode>#\ ##0\ _€</c:formatCode>
                <c:ptCount val="12"/>
                <c:pt idx="0">
                  <c:v>24633.399999999998</c:v>
                </c:pt>
                <c:pt idx="1">
                  <c:v>21264</c:v>
                </c:pt>
                <c:pt idx="2">
                  <c:v>23115.100000000002</c:v>
                </c:pt>
                <c:pt idx="3">
                  <c:v>35560.800000000003</c:v>
                </c:pt>
                <c:pt idx="4">
                  <c:v>22988.1</c:v>
                </c:pt>
                <c:pt idx="5">
                  <c:v>24406.139999999996</c:v>
                </c:pt>
                <c:pt idx="6">
                  <c:v>27352.68</c:v>
                </c:pt>
                <c:pt idx="7">
                  <c:v>28702.379999999997</c:v>
                </c:pt>
                <c:pt idx="8">
                  <c:v>23790.66</c:v>
                </c:pt>
                <c:pt idx="9">
                  <c:v>28139.8</c:v>
                </c:pt>
                <c:pt idx="10">
                  <c:v>20435.199999999997</c:v>
                </c:pt>
                <c:pt idx="11">
                  <c:v>24543.866666666669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F9E-4D01-9450-2D7B1DA090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8878920"/>
        <c:axId val="378879312"/>
      </c:barChart>
      <c:catAx>
        <c:axId val="37887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78879312"/>
        <c:crosses val="autoZero"/>
        <c:auto val="1"/>
        <c:lblAlgn val="ctr"/>
        <c:lblOffset val="100"/>
        <c:noMultiLvlLbl val="0"/>
      </c:catAx>
      <c:valAx>
        <c:axId val="37887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378878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ROLL </a:t>
            </a:r>
            <a:r>
              <a:rPr lang="en-US" sz="1400"/>
              <a:t>Ajaccio / Toulon : </a:t>
            </a:r>
            <a:r>
              <a:rPr lang="en-US" sz="1400" b="1" i="0" u="none" strike="noStrike" baseline="0">
                <a:effectLst/>
              </a:rPr>
              <a:t>Capacité / saison</a:t>
            </a:r>
            <a:endParaRPr lang="en-US" sz="1400"/>
          </a:p>
        </c:rich>
      </c:tx>
      <c:layout>
        <c:manualLayout>
          <c:xMode val="edge"/>
          <c:yMode val="edge"/>
          <c:x val="0.214666666666666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10798629337999417"/>
          <c:w val="0.86676324968952845"/>
          <c:h val="0.77603382910469521"/>
        </c:manualLayout>
      </c:layout>
      <c:lineChart>
        <c:grouping val="standard"/>
        <c:varyColors val="0"/>
        <c:ser>
          <c:idx val="1"/>
          <c:order val="0"/>
          <c:tx>
            <c:strRef>
              <c:f>'ROLL+VL AJA TL+NI '!$A$18</c:f>
              <c:strCache>
                <c:ptCount val="1"/>
                <c:pt idx="0">
                  <c:v>Haute saison</c:v>
                </c:pt>
              </c:strCache>
            </c:strRef>
          </c:tx>
          <c:marker>
            <c:symbol val="none"/>
          </c:marker>
          <c:cat>
            <c:numRef>
              <c:f>'ROLL+VL AJA TL+NI 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'!$B$18:$E$18</c:f>
              <c:numCache>
                <c:formatCode>#\ ##0\ _€</c:formatCode>
                <c:ptCount val="4"/>
                <c:pt idx="0">
                  <c:v>27112.986666666664</c:v>
                </c:pt>
                <c:pt idx="1">
                  <c:v>27104.026666666668</c:v>
                </c:pt>
                <c:pt idx="2">
                  <c:v>26470.866666666665</c:v>
                </c:pt>
                <c:pt idx="3">
                  <c:v>27845.959999999995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B0E-4091-BC26-F206B6FFE559}"/>
            </c:ext>
          </c:extLst>
        </c:ser>
        <c:ser>
          <c:idx val="0"/>
          <c:order val="1"/>
          <c:tx>
            <c:strRef>
              <c:f>'ROLL+VL AJA TL+NI '!$A$17</c:f>
              <c:strCache>
                <c:ptCount val="1"/>
                <c:pt idx="0">
                  <c:v>Basse saison</c:v>
                </c:pt>
              </c:strCache>
            </c:strRef>
          </c:tx>
          <c:marker>
            <c:symbol val="none"/>
          </c:marker>
          <c:cat>
            <c:numRef>
              <c:f>'ROLL+VL AJA TL+NI 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'!$B$17:$E$17</c:f>
              <c:numCache>
                <c:formatCode>#\ ##0\ _€</c:formatCode>
                <c:ptCount val="4"/>
                <c:pt idx="0">
                  <c:v>22467.8</c:v>
                </c:pt>
                <c:pt idx="1">
                  <c:v>22820.600000000002</c:v>
                </c:pt>
                <c:pt idx="2">
                  <c:v>25338</c:v>
                </c:pt>
                <c:pt idx="3">
                  <c:v>24947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B0E-4091-BC26-F206B6FFE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880096"/>
        <c:axId val="378880488"/>
      </c:lineChart>
      <c:catAx>
        <c:axId val="3788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880488"/>
        <c:crosses val="autoZero"/>
        <c:auto val="1"/>
        <c:lblAlgn val="ctr"/>
        <c:lblOffset val="100"/>
        <c:noMultiLvlLbl val="0"/>
      </c:catAx>
      <c:valAx>
        <c:axId val="378880488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78880096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7516800645531756"/>
          <c:y val="0.73874121439518037"/>
          <c:w val="0.24554221347331584"/>
          <c:h val="0.14891586468358123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ROLL </a:t>
            </a:r>
            <a:r>
              <a:rPr lang="en-US" sz="1400"/>
              <a:t>Ajaccio / Toulon : </a:t>
            </a:r>
            <a:r>
              <a:rPr lang="en-US" sz="1400" b="1" i="0" u="none" strike="noStrike" baseline="0">
                <a:effectLst/>
              </a:rPr>
              <a:t>Capacité  / Réalisée</a:t>
            </a:r>
            <a:endParaRPr lang="en-US" sz="1400"/>
          </a:p>
        </c:rich>
      </c:tx>
      <c:layout>
        <c:manualLayout>
          <c:xMode val="edge"/>
          <c:yMode val="edge"/>
          <c:x val="0.27051302111866521"/>
          <c:y val="1.78970917225950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21536895136430093"/>
          <c:w val="0.86676324968952845"/>
          <c:h val="0.66865120047913484"/>
        </c:manualLayout>
      </c:layout>
      <c:lineChart>
        <c:grouping val="standard"/>
        <c:varyColors val="0"/>
        <c:ser>
          <c:idx val="1"/>
          <c:order val="0"/>
          <c:tx>
            <c:strRef>
              <c:f>'ROLL+VL AJA TL+NI '!$A$1</c:f>
              <c:strCache>
                <c:ptCount val="1"/>
                <c:pt idx="0">
                  <c:v>CAPACITE ROLL  AJACCIO TOULON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'ROLL+VL AJA TL+NI 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'!$B$15:$E$15</c:f>
              <c:numCache>
                <c:formatCode>#\ ##0\ _€</c:formatCode>
                <c:ptCount val="4"/>
                <c:pt idx="0">
                  <c:v>297484.71999999991</c:v>
                </c:pt>
                <c:pt idx="1">
                  <c:v>299547.75999999995</c:v>
                </c:pt>
                <c:pt idx="2">
                  <c:v>310853.2</c:v>
                </c:pt>
                <c:pt idx="3">
                  <c:v>266863.76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D9-4EBB-919C-38A6E3A91769}"/>
            </c:ext>
          </c:extLst>
        </c:ser>
        <c:ser>
          <c:idx val="0"/>
          <c:order val="1"/>
          <c:tx>
            <c:strRef>
              <c:f>'ROLL+VL AJA TL+NI '!$A$20</c:f>
              <c:strCache>
                <c:ptCount val="1"/>
                <c:pt idx="0">
                  <c:v>ROLL REALISE AJACCIO TOULON</c:v>
                </c:pt>
              </c:strCache>
            </c:strRef>
          </c:tx>
          <c:marker>
            <c:symbol val="none"/>
          </c:marker>
          <c:cat>
            <c:numRef>
              <c:f>'ROLL+VL AJA TL+NI 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'!$B$34:$E$34</c:f>
              <c:numCache>
                <c:formatCode>#\ ##0\ _€</c:formatCode>
                <c:ptCount val="4"/>
                <c:pt idx="0">
                  <c:v>232569</c:v>
                </c:pt>
                <c:pt idx="1">
                  <c:v>211253</c:v>
                </c:pt>
                <c:pt idx="2">
                  <c:v>176107</c:v>
                </c:pt>
                <c:pt idx="3">
                  <c:v>155268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D9-4EBB-919C-38A6E3A91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881272"/>
        <c:axId val="378881664"/>
      </c:lineChart>
      <c:catAx>
        <c:axId val="37888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881664"/>
        <c:crosses val="autoZero"/>
        <c:auto val="1"/>
        <c:lblAlgn val="ctr"/>
        <c:lblOffset val="100"/>
        <c:noMultiLvlLbl val="0"/>
      </c:catAx>
      <c:valAx>
        <c:axId val="378881664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78881272"/>
        <c:crosses val="autoZero"/>
        <c:crossBetween val="between"/>
        <c:majorUnit val="1000000"/>
      </c:valAx>
    </c:plotArea>
    <c:legend>
      <c:legendPos val="r"/>
      <c:layout>
        <c:manualLayout>
          <c:xMode val="edge"/>
          <c:yMode val="edge"/>
          <c:x val="0.17460047278898227"/>
          <c:y val="0.45794958516091527"/>
          <c:w val="0.61096074285188928"/>
          <c:h val="0.28745117389264696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Ajaccio / Toulon : </a:t>
            </a:r>
            <a:r>
              <a:rPr lang="en-US" sz="1400" b="1" i="0" u="none" strike="noStrike" baseline="0">
                <a:effectLst/>
              </a:rPr>
              <a:t>Capacité PAX / Réalisée</a:t>
            </a:r>
            <a:endParaRPr lang="en-US" sz="1400"/>
          </a:p>
        </c:rich>
      </c:tx>
      <c:layout>
        <c:manualLayout>
          <c:xMode val="edge"/>
          <c:yMode val="edge"/>
          <c:x val="0.27051302111866521"/>
          <c:y val="1.78970917225950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21536895136430093"/>
          <c:w val="0.86676324968952845"/>
          <c:h val="0.66865120047913484"/>
        </c:manualLayout>
      </c:layout>
      <c:lineChart>
        <c:grouping val="standard"/>
        <c:varyColors val="0"/>
        <c:ser>
          <c:idx val="1"/>
          <c:order val="0"/>
          <c:tx>
            <c:strRef>
              <c:f>'PAX AJA TL+NI'!$A$1</c:f>
              <c:strCache>
                <c:ptCount val="1"/>
                <c:pt idx="0">
                  <c:v>CAPACITE PAX  AJACCIO TOULON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'PAX AJA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TL+NI'!$B$15:$E$15</c:f>
              <c:numCache>
                <c:formatCode>#\ ##0\ _€</c:formatCode>
                <c:ptCount val="4"/>
                <c:pt idx="0">
                  <c:v>2058429</c:v>
                </c:pt>
                <c:pt idx="1">
                  <c:v>2073366</c:v>
                </c:pt>
                <c:pt idx="2">
                  <c:v>2109510</c:v>
                </c:pt>
                <c:pt idx="3">
                  <c:v>1813729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0AE-4E59-BFBC-CB97632F1784}"/>
            </c:ext>
          </c:extLst>
        </c:ser>
        <c:ser>
          <c:idx val="0"/>
          <c:order val="1"/>
          <c:tx>
            <c:strRef>
              <c:f>'PAX AJA TL+NI'!$A$20</c:f>
              <c:strCache>
                <c:ptCount val="1"/>
                <c:pt idx="0">
                  <c:v>PAX REALISE AJACCIO TOULON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'PAX AJA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TL+NI'!$B$34:$E$34</c:f>
              <c:numCache>
                <c:formatCode>#\ ##0\ _€</c:formatCode>
                <c:ptCount val="4"/>
                <c:pt idx="0">
                  <c:v>614991</c:v>
                </c:pt>
                <c:pt idx="1">
                  <c:v>684594</c:v>
                </c:pt>
                <c:pt idx="2">
                  <c:v>651566</c:v>
                </c:pt>
                <c:pt idx="3">
                  <c:v>617625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0AE-4E59-BFBC-CB97632F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768424"/>
        <c:axId val="491769208"/>
      </c:lineChart>
      <c:catAx>
        <c:axId val="49176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1769208"/>
        <c:crosses val="autoZero"/>
        <c:auto val="1"/>
        <c:lblAlgn val="ctr"/>
        <c:lblOffset val="100"/>
        <c:noMultiLvlLbl val="0"/>
      </c:catAx>
      <c:valAx>
        <c:axId val="491769208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491768424"/>
        <c:crosses val="autoZero"/>
        <c:crossBetween val="between"/>
        <c:majorUnit val="1000000"/>
      </c:valAx>
    </c:plotArea>
    <c:legend>
      <c:legendPos val="r"/>
      <c:layout>
        <c:manualLayout>
          <c:xMode val="edge"/>
          <c:yMode val="edge"/>
          <c:x val="0.17460047278898227"/>
          <c:y val="0.45794958516091527"/>
          <c:w val="0.6373021052704867"/>
          <c:h val="0.17978826472194334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AJA TL+NI '!$A$1</c:f>
              <c:strCache>
                <c:ptCount val="1"/>
                <c:pt idx="0">
                  <c:v>CAPACITE ROLL  AJACCIO TOULON</c:v>
                </c:pt>
              </c:strCache>
            </c:strRef>
          </c:tx>
          <c:invertIfNegative val="0"/>
          <c:cat>
            <c:numRef>
              <c:f>'ROLL+VL AJA TL+NI 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'!$B$15:$E$15</c:f>
              <c:numCache>
                <c:formatCode>#\ ##0\ _€</c:formatCode>
                <c:ptCount val="4"/>
                <c:pt idx="0">
                  <c:v>297484.71999999991</c:v>
                </c:pt>
                <c:pt idx="1">
                  <c:v>299547.75999999995</c:v>
                </c:pt>
                <c:pt idx="2">
                  <c:v>310853.2</c:v>
                </c:pt>
                <c:pt idx="3">
                  <c:v>266863.76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32-490B-946F-9E172B340A48}"/>
            </c:ext>
          </c:extLst>
        </c:ser>
        <c:ser>
          <c:idx val="1"/>
          <c:order val="1"/>
          <c:tx>
            <c:strRef>
              <c:f>'ROLL+VL AJA TL+NI '!$A$20</c:f>
              <c:strCache>
                <c:ptCount val="1"/>
                <c:pt idx="0">
                  <c:v>ROLL REALISE AJACCIO TOULON</c:v>
                </c:pt>
              </c:strCache>
            </c:strRef>
          </c:tx>
          <c:invertIfNegative val="0"/>
          <c:cat>
            <c:numRef>
              <c:f>'ROLL+VL AJA TL+NI 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'!$B$34:$E$34</c:f>
              <c:numCache>
                <c:formatCode>#\ ##0\ _€</c:formatCode>
                <c:ptCount val="4"/>
                <c:pt idx="0">
                  <c:v>232569</c:v>
                </c:pt>
                <c:pt idx="1">
                  <c:v>211253</c:v>
                </c:pt>
                <c:pt idx="2">
                  <c:v>176107</c:v>
                </c:pt>
                <c:pt idx="3">
                  <c:v>155268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32-490B-946F-9E172B340A48}"/>
            </c:ext>
          </c:extLst>
        </c:ser>
        <c:ser>
          <c:idx val="2"/>
          <c:order val="2"/>
          <c:tx>
            <c:strRef>
              <c:f>'ROLL+VL AJA TL+NI '!$A$56</c:f>
              <c:strCache>
                <c:ptCount val="1"/>
                <c:pt idx="0">
                  <c:v>ROLL REALISE TOULON + MARSEILLE</c:v>
                </c:pt>
              </c:strCache>
            </c:strRef>
          </c:tx>
          <c:invertIfNegative val="0"/>
          <c:cat>
            <c:numRef>
              <c:f>'ROLL+VL AJA TL+NI 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'!$B$70:$E$70</c:f>
              <c:numCache>
                <c:formatCode>#\ ##0\ _€</c:formatCode>
                <c:ptCount val="4"/>
                <c:pt idx="0">
                  <c:v>669048</c:v>
                </c:pt>
                <c:pt idx="1">
                  <c:v>686153</c:v>
                </c:pt>
                <c:pt idx="2">
                  <c:v>713342</c:v>
                </c:pt>
                <c:pt idx="3">
                  <c:v>671994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32-490B-946F-9E172B34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866240"/>
        <c:axId val="378866632"/>
      </c:barChart>
      <c:catAx>
        <c:axId val="3788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866632"/>
        <c:crosses val="autoZero"/>
        <c:auto val="1"/>
        <c:lblAlgn val="ctr"/>
        <c:lblOffset val="100"/>
        <c:noMultiLvlLbl val="0"/>
      </c:catAx>
      <c:valAx>
        <c:axId val="378866632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crossAx val="378866240"/>
        <c:crosses val="autoZero"/>
        <c:crossBetween val="between"/>
        <c:majorUnit val="40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BAS TL+NI'!$AC$40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'ROLL+VL BAS TL+NI'!$AB$41:$AB$52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TL+NI'!$AC$41:$AC$52</c:f>
              <c:numCache>
                <c:formatCode>#,##0</c:formatCode>
                <c:ptCount val="12"/>
                <c:pt idx="0">
                  <c:v>40941.279999999999</c:v>
                </c:pt>
                <c:pt idx="1">
                  <c:v>39554.320000000007</c:v>
                </c:pt>
                <c:pt idx="2">
                  <c:v>54533.84</c:v>
                </c:pt>
                <c:pt idx="3">
                  <c:v>41262.680000000008</c:v>
                </c:pt>
                <c:pt idx="4">
                  <c:v>63272.679999999993</c:v>
                </c:pt>
                <c:pt idx="5">
                  <c:v>76816.359999999986</c:v>
                </c:pt>
                <c:pt idx="6">
                  <c:v>79678.48000000001</c:v>
                </c:pt>
                <c:pt idx="7">
                  <c:v>124912.52000000002</c:v>
                </c:pt>
                <c:pt idx="8">
                  <c:v>70449.239999999991</c:v>
                </c:pt>
                <c:pt idx="9">
                  <c:v>50913.960000000006</c:v>
                </c:pt>
                <c:pt idx="10">
                  <c:v>49447.839999999997</c:v>
                </c:pt>
                <c:pt idx="11">
                  <c:v>57060.119999999995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76-4571-916A-CFC87E62962C}"/>
            </c:ext>
          </c:extLst>
        </c:ser>
        <c:ser>
          <c:idx val="1"/>
          <c:order val="1"/>
          <c:tx>
            <c:strRef>
              <c:f>'ROLL+VL BAS TL+NI'!$AD$40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'ROLL+VL BAS TL+NI'!$AB$41:$AB$52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TL+NI'!$AD$41:$AD$52</c:f>
              <c:numCache>
                <c:formatCode>#,##0</c:formatCode>
                <c:ptCount val="12"/>
                <c:pt idx="0">
                  <c:v>47573.399999999994</c:v>
                </c:pt>
                <c:pt idx="1">
                  <c:v>45827.56</c:v>
                </c:pt>
                <c:pt idx="2">
                  <c:v>62233.279999999999</c:v>
                </c:pt>
                <c:pt idx="3">
                  <c:v>25540.839999999997</c:v>
                </c:pt>
                <c:pt idx="4">
                  <c:v>48264.119999999995</c:v>
                </c:pt>
                <c:pt idx="5">
                  <c:v>50737.279999999999</c:v>
                </c:pt>
                <c:pt idx="6">
                  <c:v>83298.559999999998</c:v>
                </c:pt>
                <c:pt idx="7">
                  <c:v>110619.84</c:v>
                </c:pt>
                <c:pt idx="8">
                  <c:v>67279.039999999979</c:v>
                </c:pt>
                <c:pt idx="9">
                  <c:v>34947.679999999993</c:v>
                </c:pt>
                <c:pt idx="10">
                  <c:v>41009.160000000003</c:v>
                </c:pt>
                <c:pt idx="11">
                  <c:v>50660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76-4571-916A-CFC87E62962C}"/>
            </c:ext>
          </c:extLst>
        </c:ser>
        <c:ser>
          <c:idx val="2"/>
          <c:order val="2"/>
          <c:tx>
            <c:strRef>
              <c:f>'ROLL+VL BAS TL+NI'!$AE$40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'ROLL+VL BAS TL+NI'!$AB$41:$AB$52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TL+NI'!$AE$41:$AE$52</c:f>
              <c:numCache>
                <c:formatCode>#,##0</c:formatCode>
                <c:ptCount val="12"/>
                <c:pt idx="0">
                  <c:v>32310.760000000009</c:v>
                </c:pt>
                <c:pt idx="1">
                  <c:v>50198.080000000002</c:v>
                </c:pt>
                <c:pt idx="2">
                  <c:v>56511.880000000005</c:v>
                </c:pt>
                <c:pt idx="3">
                  <c:v>14731.080000000016</c:v>
                </c:pt>
                <c:pt idx="4">
                  <c:v>50466.559999999998</c:v>
                </c:pt>
                <c:pt idx="5">
                  <c:v>4890.2399999999907</c:v>
                </c:pt>
                <c:pt idx="6">
                  <c:v>21090.400000000023</c:v>
                </c:pt>
                <c:pt idx="7">
                  <c:v>77904.320000000007</c:v>
                </c:pt>
                <c:pt idx="8">
                  <c:v>61998.200000000012</c:v>
                </c:pt>
                <c:pt idx="9">
                  <c:v>47154.48000000001</c:v>
                </c:pt>
                <c:pt idx="10">
                  <c:v>34303.199999999997</c:v>
                </c:pt>
                <c:pt idx="11">
                  <c:v>34189.64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876-4571-916A-CFC87E62962C}"/>
            </c:ext>
          </c:extLst>
        </c:ser>
        <c:ser>
          <c:idx val="3"/>
          <c:order val="3"/>
          <c:tx>
            <c:strRef>
              <c:f>'ROLL+VL BAS TL+NI'!$AF$40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BAS TL+NI'!$AB$41:$AB$52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TL+NI'!$AF$41:$AF$52</c:f>
              <c:numCache>
                <c:formatCode>#,##0</c:formatCode>
                <c:ptCount val="12"/>
                <c:pt idx="0">
                  <c:v>44097.399999999994</c:v>
                </c:pt>
                <c:pt idx="1">
                  <c:v>51820.160000000003</c:v>
                </c:pt>
                <c:pt idx="2">
                  <c:v>63887.520000000004</c:v>
                </c:pt>
                <c:pt idx="3">
                  <c:v>36188.160000000003</c:v>
                </c:pt>
                <c:pt idx="4">
                  <c:v>54645.280000000028</c:v>
                </c:pt>
                <c:pt idx="5">
                  <c:v>52212.080000000016</c:v>
                </c:pt>
                <c:pt idx="6">
                  <c:v>57153.760000000009</c:v>
                </c:pt>
                <c:pt idx="7">
                  <c:v>107366.16000000003</c:v>
                </c:pt>
                <c:pt idx="8">
                  <c:v>56605.84</c:v>
                </c:pt>
                <c:pt idx="9">
                  <c:v>28301.880000000005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876-4571-916A-CFC87E62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867416"/>
        <c:axId val="378867808"/>
      </c:barChart>
      <c:catAx>
        <c:axId val="378867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867808"/>
        <c:crosses val="autoZero"/>
        <c:auto val="1"/>
        <c:lblAlgn val="ctr"/>
        <c:lblOffset val="100"/>
        <c:noMultiLvlLbl val="0"/>
      </c:catAx>
      <c:valAx>
        <c:axId val="378867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8867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BAS TL+NI'!$AD$57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'ROLL+VL BAS TL+NI'!$AC$58:$AC$69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TL+NI'!$AD$58:$AD$69</c:f>
              <c:numCache>
                <c:formatCode>#,##0</c:formatCode>
                <c:ptCount val="12"/>
                <c:pt idx="0">
                  <c:v>-12215.720000000001</c:v>
                </c:pt>
                <c:pt idx="1">
                  <c:v>-10388.080000000002</c:v>
                </c:pt>
                <c:pt idx="2">
                  <c:v>-2940.7599999999948</c:v>
                </c:pt>
                <c:pt idx="3">
                  <c:v>-25798.119999999995</c:v>
                </c:pt>
                <c:pt idx="4">
                  <c:v>-10010.199999999997</c:v>
                </c:pt>
                <c:pt idx="5">
                  <c:v>-3271.1199999999953</c:v>
                </c:pt>
                <c:pt idx="6">
                  <c:v>1760.1600000000035</c:v>
                </c:pt>
                <c:pt idx="7">
                  <c:v>65010.520000000019</c:v>
                </c:pt>
                <c:pt idx="8">
                  <c:v>4642.2000000000116</c:v>
                </c:pt>
                <c:pt idx="9">
                  <c:v>-10479.839999999997</c:v>
                </c:pt>
                <c:pt idx="10">
                  <c:v>-2321.3600000000006</c:v>
                </c:pt>
                <c:pt idx="11">
                  <c:v>4928.5200000000041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19-4AFC-9D1C-CDF37D0F3E7A}"/>
            </c:ext>
          </c:extLst>
        </c:ser>
        <c:ser>
          <c:idx val="1"/>
          <c:order val="1"/>
          <c:tx>
            <c:strRef>
              <c:f>'ROLL+VL BAS TL+NI'!$AE$57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'ROLL+VL BAS TL+NI'!$AC$58:$AC$69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TL+NI'!$AE$58:$AE$69</c:f>
              <c:numCache>
                <c:formatCode>#,##0</c:formatCode>
                <c:ptCount val="12"/>
                <c:pt idx="0">
                  <c:v>-11907.199999999997</c:v>
                </c:pt>
                <c:pt idx="1">
                  <c:v>-7927.239999999998</c:v>
                </c:pt>
                <c:pt idx="2">
                  <c:v>-4295.9199999999983</c:v>
                </c:pt>
                <c:pt idx="3">
                  <c:v>-37584.160000000003</c:v>
                </c:pt>
                <c:pt idx="4">
                  <c:v>-18660.28</c:v>
                </c:pt>
                <c:pt idx="5">
                  <c:v>-28633.799999999988</c:v>
                </c:pt>
                <c:pt idx="6">
                  <c:v>5213.8399999999965</c:v>
                </c:pt>
                <c:pt idx="7">
                  <c:v>49044.119999999995</c:v>
                </c:pt>
                <c:pt idx="8">
                  <c:v>-1395.1600000000035</c:v>
                </c:pt>
                <c:pt idx="9">
                  <c:v>-17810.319999999992</c:v>
                </c:pt>
                <c:pt idx="10">
                  <c:v>-11561.64</c:v>
                </c:pt>
                <c:pt idx="11">
                  <c:v>-756.19999999999709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19-4AFC-9D1C-CDF37D0F3E7A}"/>
            </c:ext>
          </c:extLst>
        </c:ser>
        <c:ser>
          <c:idx val="2"/>
          <c:order val="2"/>
          <c:tx>
            <c:strRef>
              <c:f>'ROLL+VL BAS TL+NI'!$AF$57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'ROLL+VL BAS TL+NI'!$AC$58:$AC$69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TL+NI'!$AF$58:$AF$69</c:f>
              <c:numCache>
                <c:formatCode>#,##0</c:formatCode>
                <c:ptCount val="12"/>
                <c:pt idx="0">
                  <c:v>-22507.039999999994</c:v>
                </c:pt>
                <c:pt idx="1">
                  <c:v>-7916.9199999999983</c:v>
                </c:pt>
                <c:pt idx="2">
                  <c:v>-9344.9199999999983</c:v>
                </c:pt>
                <c:pt idx="3">
                  <c:v>-47863.51999999999</c:v>
                </c:pt>
                <c:pt idx="4">
                  <c:v>-20819.599999999991</c:v>
                </c:pt>
                <c:pt idx="5">
                  <c:v>-69281.320000000007</c:v>
                </c:pt>
                <c:pt idx="6">
                  <c:v>-51131.880000000005</c:v>
                </c:pt>
                <c:pt idx="7">
                  <c:v>9784.4800000000105</c:v>
                </c:pt>
                <c:pt idx="8">
                  <c:v>-4273.2399999999907</c:v>
                </c:pt>
                <c:pt idx="9">
                  <c:v>-8719.5199999999895</c:v>
                </c:pt>
                <c:pt idx="10">
                  <c:v>-24352.800000000003</c:v>
                </c:pt>
                <c:pt idx="11">
                  <c:v>-18875.36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C19-4AFC-9D1C-CDF37D0F3E7A}"/>
            </c:ext>
          </c:extLst>
        </c:ser>
        <c:ser>
          <c:idx val="3"/>
          <c:order val="3"/>
          <c:tx>
            <c:strRef>
              <c:f>'ROLL+VL BAS TL+NI'!$AG$57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BAS TL+NI'!$AC$58:$AC$69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BAS TL+NI'!$AG$58:$AG$69</c:f>
              <c:numCache>
                <c:formatCode>#,##0</c:formatCode>
                <c:ptCount val="12"/>
                <c:pt idx="0">
                  <c:v>-14752.800000000003</c:v>
                </c:pt>
                <c:pt idx="1">
                  <c:v>-8842.239999999998</c:v>
                </c:pt>
                <c:pt idx="2">
                  <c:v>-8016.4799999999959</c:v>
                </c:pt>
                <c:pt idx="3">
                  <c:v>-29085.239999999991</c:v>
                </c:pt>
                <c:pt idx="4">
                  <c:v>-23862.239999999991</c:v>
                </c:pt>
                <c:pt idx="5">
                  <c:v>-26880.959999999992</c:v>
                </c:pt>
                <c:pt idx="6">
                  <c:v>-15326.039999999979</c:v>
                </c:pt>
                <c:pt idx="7">
                  <c:v>40058.880000000005</c:v>
                </c:pt>
                <c:pt idx="8">
                  <c:v>-734.03999999997905</c:v>
                </c:pt>
                <c:pt idx="9">
                  <c:v>-23187.319999999992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C19-4AFC-9D1C-CDF37D0F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868592"/>
        <c:axId val="378868984"/>
      </c:barChart>
      <c:catAx>
        <c:axId val="3788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868984"/>
        <c:crosses val="autoZero"/>
        <c:auto val="1"/>
        <c:lblAlgn val="ctr"/>
        <c:lblOffset val="100"/>
        <c:noMultiLvlLbl val="0"/>
      </c:catAx>
      <c:valAx>
        <c:axId val="378868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886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PAX moyen </a:t>
            </a:r>
            <a:r>
              <a:rPr lang="en-US" sz="1400"/>
              <a:t>Ile</a:t>
            </a:r>
            <a:r>
              <a:rPr lang="en-US" sz="1400" baseline="0"/>
              <a:t> Rousse</a:t>
            </a:r>
            <a:r>
              <a:rPr lang="en-US" sz="1400"/>
              <a:t> / Toulon</a:t>
            </a:r>
          </a:p>
          <a:p>
            <a:pPr>
              <a:defRPr sz="1400"/>
            </a:pPr>
            <a:r>
              <a:rPr lang="en-US" sz="1400"/>
              <a:t> 2014-2017</a:t>
            </a:r>
          </a:p>
        </c:rich>
      </c:tx>
      <c:layout>
        <c:manualLayout>
          <c:xMode val="edge"/>
          <c:yMode val="edge"/>
          <c:x val="0.1866894479448"/>
          <c:y val="1.67450151268537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53200958575833"/>
          <c:y val="0.13388528217703724"/>
          <c:w val="0.85672885997945913"/>
          <c:h val="0.77606800739436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5E0-4AA6-94DE-316E887BE75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5E0-4AA6-94DE-316E887BE75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5E0-4AA6-94DE-316E887BE75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5E0-4AA6-94DE-316E887BE75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5E0-4AA6-94DE-316E887BE75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5E0-4AA6-94DE-316E887BE75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55E0-4AA6-94DE-316E887BE759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55E0-4AA6-94DE-316E887BE759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'PAX ILR TL+NI'!$G$3:$G$14</c:f>
                <c:numCache>
                  <c:formatCode>General</c:formatCode>
                  <c:ptCount val="12"/>
                  <c:pt idx="0">
                    <c:v>919.04515667076987</c:v>
                  </c:pt>
                  <c:pt idx="1">
                    <c:v>2701.2557573592817</c:v>
                  </c:pt>
                  <c:pt idx="2">
                    <c:v>1060</c:v>
                  </c:pt>
                  <c:pt idx="3">
                    <c:v>11743.833938852054</c:v>
                  </c:pt>
                  <c:pt idx="4">
                    <c:v>8157.6608320032528</c:v>
                  </c:pt>
                  <c:pt idx="5">
                    <c:v>9114.4133610818135</c:v>
                  </c:pt>
                  <c:pt idx="6">
                    <c:v>6901.0951063339699</c:v>
                  </c:pt>
                  <c:pt idx="7">
                    <c:v>15576.639806667761</c:v>
                  </c:pt>
                  <c:pt idx="8">
                    <c:v>12862.166406428843</c:v>
                  </c:pt>
                  <c:pt idx="9">
                    <c:v>6951.9849443642115</c:v>
                  </c:pt>
                  <c:pt idx="10">
                    <c:v>4637.2773621310744</c:v>
                  </c:pt>
                  <c:pt idx="11">
                    <c:v>3914.6391915475429</c:v>
                  </c:pt>
                </c:numCache>
              </c:numRef>
            </c:plus>
            <c:minus>
              <c:numRef>
                <c:f>'PAX ILR TL+NI'!$H$3:$H$14</c:f>
                <c:numCache>
                  <c:formatCode>General</c:formatCode>
                  <c:ptCount val="12"/>
                  <c:pt idx="0">
                    <c:v>919.04515667076987</c:v>
                  </c:pt>
                  <c:pt idx="1">
                    <c:v>2701.2557573592817</c:v>
                  </c:pt>
                  <c:pt idx="2">
                    <c:v>1060</c:v>
                  </c:pt>
                  <c:pt idx="3">
                    <c:v>11743.833938852054</c:v>
                  </c:pt>
                  <c:pt idx="4">
                    <c:v>8157.6608320032528</c:v>
                  </c:pt>
                  <c:pt idx="5">
                    <c:v>9114.4133610818135</c:v>
                  </c:pt>
                  <c:pt idx="6">
                    <c:v>6901.0951063339699</c:v>
                  </c:pt>
                  <c:pt idx="7">
                    <c:v>15576.639806667761</c:v>
                  </c:pt>
                  <c:pt idx="8">
                    <c:v>12862.166406428843</c:v>
                  </c:pt>
                  <c:pt idx="9">
                    <c:v>6951.9849443642115</c:v>
                  </c:pt>
                  <c:pt idx="10">
                    <c:v>4637.2773621310744</c:v>
                  </c:pt>
                  <c:pt idx="11">
                    <c:v>3914.6391915475429</c:v>
                  </c:pt>
                </c:numCache>
              </c:numRef>
            </c:minus>
          </c:errBars>
          <c:cat>
            <c:strRef>
              <c:f>'PAX ILR TL+NI'!$A$3:$A$14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ILR TL+NI'!$F$3:$F$14</c:f>
              <c:numCache>
                <c:formatCode>#\ ##0\ _€</c:formatCode>
                <c:ptCount val="12"/>
                <c:pt idx="0">
                  <c:v>739</c:v>
                </c:pt>
                <c:pt idx="1">
                  <c:v>2773</c:v>
                </c:pt>
                <c:pt idx="2">
                  <c:v>530</c:v>
                </c:pt>
                <c:pt idx="3">
                  <c:v>24210.75</c:v>
                </c:pt>
                <c:pt idx="4">
                  <c:v>31944.75</c:v>
                </c:pt>
                <c:pt idx="5">
                  <c:v>45947.25</c:v>
                </c:pt>
                <c:pt idx="6">
                  <c:v>102137.5</c:v>
                </c:pt>
                <c:pt idx="7">
                  <c:v>109621.5</c:v>
                </c:pt>
                <c:pt idx="8">
                  <c:v>41673</c:v>
                </c:pt>
                <c:pt idx="9">
                  <c:v>10791</c:v>
                </c:pt>
                <c:pt idx="10">
                  <c:v>2677.3333333333335</c:v>
                </c:pt>
                <c:pt idx="11">
                  <c:v>4020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5E0-4AA6-94DE-316E887BE7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8869768"/>
        <c:axId val="384468312"/>
      </c:barChart>
      <c:catAx>
        <c:axId val="37886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84468312"/>
        <c:crosses val="autoZero"/>
        <c:auto val="1"/>
        <c:lblAlgn val="ctr"/>
        <c:lblOffset val="100"/>
        <c:noMultiLvlLbl val="0"/>
      </c:catAx>
      <c:valAx>
        <c:axId val="38446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378869768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PAX </a:t>
            </a:r>
            <a:r>
              <a:rPr lang="en-US" sz="1400"/>
              <a:t>Ile Rousse / Toulon : </a:t>
            </a:r>
            <a:r>
              <a:rPr lang="en-US" sz="1400" b="1" i="0" u="none" strike="noStrike" baseline="0">
                <a:effectLst/>
              </a:rPr>
              <a:t>Capacité/ saison</a:t>
            </a:r>
            <a:endParaRPr lang="en-US" sz="1400"/>
          </a:p>
        </c:rich>
      </c:tx>
      <c:layout>
        <c:manualLayout>
          <c:xMode val="edge"/>
          <c:yMode val="edge"/>
          <c:x val="0.214666666666666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10798629337999417"/>
          <c:w val="0.86676324968952845"/>
          <c:h val="0.77603382910469521"/>
        </c:manualLayout>
      </c:layout>
      <c:lineChart>
        <c:grouping val="standard"/>
        <c:varyColors val="0"/>
        <c:ser>
          <c:idx val="1"/>
          <c:order val="0"/>
          <c:tx>
            <c:strRef>
              <c:f>'PAX ILR TL+NI'!$A$18</c:f>
              <c:strCache>
                <c:ptCount val="1"/>
                <c:pt idx="0">
                  <c:v>Haute saison</c:v>
                </c:pt>
              </c:strCache>
            </c:strRef>
          </c:tx>
          <c:marker>
            <c:symbol val="none"/>
          </c:marker>
          <c:cat>
            <c:numRef>
              <c:f>'PAX ILR TL+NI'!$B$2:$E$2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TL+NI'!$B$18:$E$18</c:f>
              <c:numCache>
                <c:formatCode>#\ ##0\ _€</c:formatCode>
                <c:ptCount val="4"/>
                <c:pt idx="0">
                  <c:v>54982.333333333336</c:v>
                </c:pt>
                <c:pt idx="1">
                  <c:v>59957.666666666664</c:v>
                </c:pt>
                <c:pt idx="2">
                  <c:v>63546.5</c:v>
                </c:pt>
                <c:pt idx="3">
                  <c:v>58536.666666666664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9B6-44AE-809D-1395F4D955C1}"/>
            </c:ext>
          </c:extLst>
        </c:ser>
        <c:ser>
          <c:idx val="0"/>
          <c:order val="1"/>
          <c:tx>
            <c:strRef>
              <c:f>'PAX ILR TL+NI'!$A$17</c:f>
              <c:strCache>
                <c:ptCount val="1"/>
                <c:pt idx="0">
                  <c:v>Basse saison</c:v>
                </c:pt>
              </c:strCache>
            </c:strRef>
          </c:tx>
          <c:marker>
            <c:symbol val="none"/>
          </c:marker>
          <c:cat>
            <c:numRef>
              <c:f>'PAX ILR TL+NI'!$B$2:$E$2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TL+NI'!$B$17:$E$17</c:f>
              <c:numCache>
                <c:formatCode>#\ ##0\ _€</c:formatCode>
                <c:ptCount val="4"/>
                <c:pt idx="0">
                  <c:v>3207.3333333333335</c:v>
                </c:pt>
                <c:pt idx="1">
                  <c:v>1868.6666666666667</c:v>
                </c:pt>
                <c:pt idx="2">
                  <c:v>4243.333333333333</c:v>
                </c:pt>
                <c:pt idx="3">
                  <c:v>5877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9B6-44AE-809D-1395F4D9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469096"/>
        <c:axId val="384469488"/>
      </c:lineChart>
      <c:catAx>
        <c:axId val="38446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469488"/>
        <c:crosses val="autoZero"/>
        <c:auto val="1"/>
        <c:lblAlgn val="ctr"/>
        <c:lblOffset val="100"/>
        <c:noMultiLvlLbl val="0"/>
      </c:catAx>
      <c:valAx>
        <c:axId val="384469488"/>
        <c:scaling>
          <c:orientation val="minMax"/>
          <c:max val="110000"/>
          <c:min val="0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84469096"/>
        <c:crosses val="autoZero"/>
        <c:crossBetween val="between"/>
        <c:majorUnit val="40000"/>
      </c:valAx>
    </c:plotArea>
    <c:legend>
      <c:legendPos val="r"/>
      <c:layout>
        <c:manualLayout>
          <c:xMode val="edge"/>
          <c:yMode val="edge"/>
          <c:x val="0.7516800645531756"/>
          <c:y val="0.16867515721608625"/>
          <c:w val="0.24554221347331584"/>
          <c:h val="0.1628047535724701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PAX Ile Rousse / Toulon : </a:t>
            </a:r>
            <a:r>
              <a:rPr lang="en-US" sz="1400" b="1" i="0" u="none" strike="noStrike" baseline="0">
                <a:effectLst/>
              </a:rPr>
              <a:t>Capacité  / Réalisée</a:t>
            </a:r>
            <a:endParaRPr lang="en-US" sz="1400"/>
          </a:p>
        </c:rich>
      </c:tx>
      <c:layout>
        <c:manualLayout>
          <c:xMode val="edge"/>
          <c:yMode val="edge"/>
          <c:x val="0.12209579525847232"/>
          <c:y val="8.397780111800265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21536895136430093"/>
          <c:w val="0.86676324968952845"/>
          <c:h val="0.66865120047913484"/>
        </c:manualLayout>
      </c:layout>
      <c:lineChart>
        <c:grouping val="standard"/>
        <c:varyColors val="0"/>
        <c:ser>
          <c:idx val="1"/>
          <c:order val="0"/>
          <c:tx>
            <c:strRef>
              <c:f>'PAX ILR TL+NI'!$A$1</c:f>
              <c:strCache>
                <c:ptCount val="1"/>
                <c:pt idx="0">
                  <c:v>CAPACITE PAX  ILE ROUSSE TOULON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'PAX ILR TL+NI'!$B$15:$E$15</c:f>
              <c:numCache>
                <c:formatCode>#\ ##0\ _€</c:formatCode>
                <c:ptCount val="4"/>
                <c:pt idx="0">
                  <c:v>349138</c:v>
                </c:pt>
                <c:pt idx="1">
                  <c:v>370958</c:v>
                </c:pt>
                <c:pt idx="2">
                  <c:v>406739</c:v>
                </c:pt>
                <c:pt idx="3">
                  <c:v>374728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38-4F3E-81E7-D9303EC34F5D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1"/>
          <c:tx>
            <c:strRef>
              <c:f>'PAX ILR TL+NI'!$A$20</c:f>
              <c:strCache>
                <c:ptCount val="1"/>
                <c:pt idx="0">
                  <c:v>PAX REALISE ILE ROUSSE TOULON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'PAX ILR TL+NI'!$B$34:$E$34</c:f>
              <c:numCache>
                <c:formatCode>#\ ##0\ _€</c:formatCode>
                <c:ptCount val="4"/>
                <c:pt idx="0">
                  <c:v>173668</c:v>
                </c:pt>
                <c:pt idx="1">
                  <c:v>186889</c:v>
                </c:pt>
                <c:pt idx="2">
                  <c:v>196001</c:v>
                </c:pt>
                <c:pt idx="3">
                  <c:v>195271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38-4F3E-81E7-D9303EC34F5D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470272"/>
        <c:axId val="384470664"/>
      </c:lineChart>
      <c:catAx>
        <c:axId val="3844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470664"/>
        <c:crosses val="autoZero"/>
        <c:auto val="1"/>
        <c:lblAlgn val="ctr"/>
        <c:lblOffset val="100"/>
        <c:noMultiLvlLbl val="0"/>
      </c:catAx>
      <c:valAx>
        <c:axId val="384470664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84470272"/>
        <c:crosses val="autoZero"/>
        <c:crossBetween val="between"/>
        <c:majorUnit val="200000"/>
      </c:valAx>
    </c:plotArea>
    <c:legend>
      <c:legendPos val="r"/>
      <c:layout>
        <c:manualLayout>
          <c:xMode val="edge"/>
          <c:yMode val="edge"/>
          <c:x val="0.18618924872391954"/>
          <c:y val="0.21259445404020189"/>
          <c:w val="0.55875682633078971"/>
          <c:h val="0.19484260188765923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ILR TL+NI'!$A$1</c:f>
              <c:strCache>
                <c:ptCount val="1"/>
                <c:pt idx="0">
                  <c:v>CAPACITE PAX  ILE ROUSSE TOULON</c:v>
                </c:pt>
              </c:strCache>
            </c:strRef>
          </c:tx>
          <c:invertIfNegative val="0"/>
          <c:cat>
            <c:numRef>
              <c:f>'PAX ILR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TL+NI'!$B$15:$E$15</c:f>
              <c:numCache>
                <c:formatCode>#\ ##0\ _€</c:formatCode>
                <c:ptCount val="4"/>
                <c:pt idx="0">
                  <c:v>349138</c:v>
                </c:pt>
                <c:pt idx="1">
                  <c:v>370958</c:v>
                </c:pt>
                <c:pt idx="2">
                  <c:v>406739</c:v>
                </c:pt>
                <c:pt idx="3">
                  <c:v>374728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33-47C6-A1D6-D581260BFE39}"/>
            </c:ext>
          </c:extLst>
        </c:ser>
        <c:ser>
          <c:idx val="1"/>
          <c:order val="1"/>
          <c:tx>
            <c:strRef>
              <c:f>'PAX ILR TL+NI'!$A$20</c:f>
              <c:strCache>
                <c:ptCount val="1"/>
                <c:pt idx="0">
                  <c:v>PAX REALISE ILE ROUSSE TOULON</c:v>
                </c:pt>
              </c:strCache>
            </c:strRef>
          </c:tx>
          <c:invertIfNegative val="0"/>
          <c:cat>
            <c:numRef>
              <c:f>'PAX ILR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TL+NI'!$B$34:$E$34</c:f>
              <c:numCache>
                <c:formatCode>#\ ##0\ _€</c:formatCode>
                <c:ptCount val="4"/>
                <c:pt idx="0">
                  <c:v>173668</c:v>
                </c:pt>
                <c:pt idx="1">
                  <c:v>186889</c:v>
                </c:pt>
                <c:pt idx="2">
                  <c:v>196001</c:v>
                </c:pt>
                <c:pt idx="3">
                  <c:v>195271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33-47C6-A1D6-D581260BFE39}"/>
            </c:ext>
          </c:extLst>
        </c:ser>
        <c:ser>
          <c:idx val="2"/>
          <c:order val="2"/>
          <c:tx>
            <c:strRef>
              <c:f>'PAX ILR TL+NI'!$A$56</c:f>
              <c:strCache>
                <c:ptCount val="1"/>
                <c:pt idx="0">
                  <c:v>PAX REALISE TOULON + MARSEILLE</c:v>
                </c:pt>
              </c:strCache>
            </c:strRef>
          </c:tx>
          <c:invertIfNegative val="0"/>
          <c:cat>
            <c:numRef>
              <c:f>'PAX ILR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TL+NI'!$B$70:$E$70</c:f>
              <c:numCache>
                <c:formatCode>#\ ##0\ _€</c:formatCode>
                <c:ptCount val="4"/>
                <c:pt idx="0">
                  <c:v>220647</c:v>
                </c:pt>
                <c:pt idx="1">
                  <c:v>228727</c:v>
                </c:pt>
                <c:pt idx="2">
                  <c:v>242162</c:v>
                </c:pt>
                <c:pt idx="3">
                  <c:v>241045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33-47C6-A1D6-D581260B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471448"/>
        <c:axId val="384471840"/>
      </c:barChart>
      <c:catAx>
        <c:axId val="384471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471840"/>
        <c:crosses val="autoZero"/>
        <c:auto val="1"/>
        <c:lblAlgn val="ctr"/>
        <c:lblOffset val="100"/>
        <c:noMultiLvlLbl val="0"/>
      </c:catAx>
      <c:valAx>
        <c:axId val="384471840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crossAx val="384471448"/>
        <c:crosses val="autoZero"/>
        <c:crossBetween val="between"/>
        <c:majorUnit val="20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SOLDE OFFRE CAPACITAIRE (TOULON+NICE) - REALISE (TOULON + MARSEILLE+NICE)</a:t>
            </a:r>
          </a:p>
        </c:rich>
      </c:tx>
      <c:layout>
        <c:manualLayout>
          <c:xMode val="edge"/>
          <c:yMode val="edge"/>
          <c:x val="0.1114437883026605"/>
          <c:y val="4.1071028948930922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ILR TL+NI'!$J$22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TL+NI'!$K$22:$N$22</c:f>
              <c:numCache>
                <c:formatCode>#,##0</c:formatCode>
                <c:ptCount val="4"/>
                <c:pt idx="0">
                  <c:v>2187</c:v>
                </c:pt>
                <c:pt idx="1">
                  <c:v>2765</c:v>
                </c:pt>
                <c:pt idx="2">
                  <c:v>13005</c:v>
                </c:pt>
                <c:pt idx="3">
                  <c:v>6578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A2-4C2E-9A49-73F68DD429FA}"/>
            </c:ext>
          </c:extLst>
        </c:ser>
        <c:ser>
          <c:idx val="1"/>
          <c:order val="1"/>
          <c:tx>
            <c:strRef>
              <c:f>'PAX ILR TL+NI'!$J$23</c:f>
              <c:strCache>
                <c:ptCount val="1"/>
                <c:pt idx="0">
                  <c:v>fév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TL+NI'!$K$23:$N$23</c:f>
              <c:numCache>
                <c:formatCode>#,##0</c:formatCode>
                <c:ptCount val="4"/>
                <c:pt idx="0">
                  <c:v>7558</c:v>
                </c:pt>
                <c:pt idx="1">
                  <c:v>6143</c:v>
                </c:pt>
                <c:pt idx="2">
                  <c:v>2706</c:v>
                </c:pt>
                <c:pt idx="3">
                  <c:v>8379.6666666666679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A2-4C2E-9A49-73F68DD429FA}"/>
            </c:ext>
          </c:extLst>
        </c:ser>
        <c:ser>
          <c:idx val="2"/>
          <c:order val="2"/>
          <c:tx>
            <c:strRef>
              <c:f>'PAX ILR TL+NI'!$J$24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TL+NI'!$K$24:$N$24</c:f>
              <c:numCache>
                <c:formatCode>#,##0</c:formatCode>
                <c:ptCount val="4"/>
                <c:pt idx="0">
                  <c:v>528</c:v>
                </c:pt>
                <c:pt idx="1">
                  <c:v>6932</c:v>
                </c:pt>
                <c:pt idx="2">
                  <c:v>4091</c:v>
                </c:pt>
                <c:pt idx="3">
                  <c:v>2966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A2-4C2E-9A49-73F68DD429FA}"/>
            </c:ext>
          </c:extLst>
        </c:ser>
        <c:ser>
          <c:idx val="3"/>
          <c:order val="3"/>
          <c:tx>
            <c:strRef>
              <c:f>'PAX ILR TL+NI'!$J$25</c:f>
              <c:strCache>
                <c:ptCount val="1"/>
                <c:pt idx="0">
                  <c:v>avr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TL+NI'!$K$25:$N$25</c:f>
              <c:numCache>
                <c:formatCode>#,##0</c:formatCode>
                <c:ptCount val="4"/>
                <c:pt idx="0">
                  <c:v>13411</c:v>
                </c:pt>
                <c:pt idx="1">
                  <c:v>4257</c:v>
                </c:pt>
                <c:pt idx="2">
                  <c:v>22972</c:v>
                </c:pt>
                <c:pt idx="3">
                  <c:v>17391.666666666664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A2-4C2E-9A49-73F68DD429FA}"/>
            </c:ext>
          </c:extLst>
        </c:ser>
        <c:ser>
          <c:idx val="4"/>
          <c:order val="4"/>
          <c:tx>
            <c:strRef>
              <c:f>'PAX ILR TL+NI'!$J$26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TL+NI'!$K$26:$N$26</c:f>
              <c:numCache>
                <c:formatCode>#,##0</c:formatCode>
                <c:ptCount val="4"/>
                <c:pt idx="0">
                  <c:v>26775</c:v>
                </c:pt>
                <c:pt idx="1">
                  <c:v>16244</c:v>
                </c:pt>
                <c:pt idx="2">
                  <c:v>10280</c:v>
                </c:pt>
                <c:pt idx="3">
                  <c:v>27356.333333333336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FA2-4C2E-9A49-73F68DD429FA}"/>
            </c:ext>
          </c:extLst>
        </c:ser>
        <c:ser>
          <c:idx val="5"/>
          <c:order val="5"/>
          <c:tx>
            <c:strRef>
              <c:f>'PAX ILR TL+NI'!$J$27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TL+NI'!$K$27:$N$27</c:f>
              <c:numCache>
                <c:formatCode>#,##0</c:formatCode>
                <c:ptCount val="4"/>
                <c:pt idx="0">
                  <c:v>55218</c:v>
                </c:pt>
                <c:pt idx="1">
                  <c:v>49164</c:v>
                </c:pt>
                <c:pt idx="2">
                  <c:v>38736</c:v>
                </c:pt>
                <c:pt idx="3">
                  <c:v>38311.333333333328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FA2-4C2E-9A49-73F68DD429FA}"/>
            </c:ext>
          </c:extLst>
        </c:ser>
        <c:ser>
          <c:idx val="6"/>
          <c:order val="6"/>
          <c:tx>
            <c:strRef>
              <c:f>'PAX ILR TL+NI'!$J$28</c:f>
              <c:strCache>
                <c:ptCount val="1"/>
                <c:pt idx="0">
                  <c:v>juil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TL+NI'!$K$28:$N$28</c:f>
              <c:numCache>
                <c:formatCode>#,##0</c:formatCode>
                <c:ptCount val="4"/>
                <c:pt idx="0">
                  <c:v>153310</c:v>
                </c:pt>
                <c:pt idx="1">
                  <c:v>109081</c:v>
                </c:pt>
                <c:pt idx="2">
                  <c:v>66220</c:v>
                </c:pt>
                <c:pt idx="3">
                  <c:v>113649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FA2-4C2E-9A49-73F68DD429FA}"/>
            </c:ext>
          </c:extLst>
        </c:ser>
        <c:ser>
          <c:idx val="7"/>
          <c:order val="7"/>
          <c:tx>
            <c:strRef>
              <c:f>'PAX ILR TL+NI'!$J$29</c:f>
              <c:strCache>
                <c:ptCount val="1"/>
                <c:pt idx="0">
                  <c:v>aou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TL+NI'!$K$29:$N$29</c:f>
              <c:numCache>
                <c:formatCode>#,##0</c:formatCode>
                <c:ptCount val="4"/>
                <c:pt idx="0">
                  <c:v>108568</c:v>
                </c:pt>
                <c:pt idx="1">
                  <c:v>116585</c:v>
                </c:pt>
                <c:pt idx="2">
                  <c:v>90035</c:v>
                </c:pt>
                <c:pt idx="3">
                  <c:v>127419.33333333337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FA2-4C2E-9A49-73F68DD429FA}"/>
            </c:ext>
          </c:extLst>
        </c:ser>
        <c:ser>
          <c:idx val="8"/>
          <c:order val="8"/>
          <c:tx>
            <c:strRef>
              <c:f>'PAX ILR TL+NI'!$J$30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TL+NI'!$K$30:$N$30</c:f>
              <c:numCache>
                <c:formatCode>#,##0</c:formatCode>
                <c:ptCount val="4"/>
                <c:pt idx="0">
                  <c:v>52973</c:v>
                </c:pt>
                <c:pt idx="1">
                  <c:v>44796</c:v>
                </c:pt>
                <c:pt idx="2">
                  <c:v>52814</c:v>
                </c:pt>
                <c:pt idx="3">
                  <c:v>55726.666666666657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FA2-4C2E-9A49-73F68DD429FA}"/>
            </c:ext>
          </c:extLst>
        </c:ser>
        <c:ser>
          <c:idx val="9"/>
          <c:order val="9"/>
          <c:tx>
            <c:strRef>
              <c:f>'PAX ILR TL+NI'!$J$31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TL+NI'!$K$31:$N$31</c:f>
              <c:numCache>
                <c:formatCode>#,##0</c:formatCode>
                <c:ptCount val="4"/>
                <c:pt idx="0">
                  <c:v>2132</c:v>
                </c:pt>
                <c:pt idx="1">
                  <c:v>-2375</c:v>
                </c:pt>
                <c:pt idx="2">
                  <c:v>4670</c:v>
                </c:pt>
                <c:pt idx="3">
                  <c:v>4854.6666666666679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FA2-4C2E-9A49-73F68DD429FA}"/>
            </c:ext>
          </c:extLst>
        </c:ser>
        <c:ser>
          <c:idx val="10"/>
          <c:order val="10"/>
          <c:tx>
            <c:strRef>
              <c:f>'PAX ILR TL+NI'!$J$32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TL+NI'!$K$32:$N$32</c:f>
              <c:numCache>
                <c:formatCode>#,##0</c:formatCode>
                <c:ptCount val="4"/>
                <c:pt idx="0">
                  <c:v>9042</c:v>
                </c:pt>
                <c:pt idx="1">
                  <c:v>6903</c:v>
                </c:pt>
                <c:pt idx="2">
                  <c:v>16907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FA2-4C2E-9A49-73F68DD429FA}"/>
            </c:ext>
          </c:extLst>
        </c:ser>
        <c:ser>
          <c:idx val="11"/>
          <c:order val="11"/>
          <c:tx>
            <c:strRef>
              <c:f>'PAX ILR TL+NI'!$J$33</c:f>
              <c:strCache>
                <c:ptCount val="1"/>
                <c:pt idx="0">
                  <c:v>déc</c:v>
                </c:pt>
              </c:strCache>
            </c:strRef>
          </c:tx>
          <c:invertIfNegative val="0"/>
          <c:cat>
            <c:numRef>
              <c:f>'PAX ILR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ILR TL+NI'!$K$33:$N$33</c:f>
              <c:numCache>
                <c:formatCode>#,##0</c:formatCode>
                <c:ptCount val="4"/>
                <c:pt idx="0">
                  <c:v>2334</c:v>
                </c:pt>
                <c:pt idx="1">
                  <c:v>9523</c:v>
                </c:pt>
                <c:pt idx="2">
                  <c:v>13015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FA2-4C2E-9A49-73F68DD42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912000"/>
        <c:axId val="378912392"/>
      </c:barChart>
      <c:catAx>
        <c:axId val="3789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912392"/>
        <c:crosses val="autoZero"/>
        <c:auto val="1"/>
        <c:lblAlgn val="ctr"/>
        <c:lblOffset val="100"/>
        <c:noMultiLvlLbl val="0"/>
      </c:catAx>
      <c:valAx>
        <c:axId val="378912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8912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BESOIN SERVICE PUBLIC PAX TOULON+NICE - ILE ROUSSE (2014-2017)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ILR TL+NI'!$K$40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'PAX ILR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ILR TL+NI'!$K$41:$K$52</c:f>
              <c:numCache>
                <c:formatCode>#,##0</c:formatCode>
                <c:ptCount val="12"/>
                <c:pt idx="0">
                  <c:v>-2187</c:v>
                </c:pt>
                <c:pt idx="1">
                  <c:v>-7558</c:v>
                </c:pt>
                <c:pt idx="2">
                  <c:v>-528</c:v>
                </c:pt>
                <c:pt idx="3">
                  <c:v>-13411</c:v>
                </c:pt>
                <c:pt idx="4">
                  <c:v>-26775</c:v>
                </c:pt>
                <c:pt idx="5">
                  <c:v>-55218</c:v>
                </c:pt>
                <c:pt idx="6">
                  <c:v>-153310</c:v>
                </c:pt>
                <c:pt idx="7">
                  <c:v>-108568</c:v>
                </c:pt>
                <c:pt idx="8">
                  <c:v>-52973</c:v>
                </c:pt>
                <c:pt idx="9">
                  <c:v>-2132</c:v>
                </c:pt>
                <c:pt idx="10">
                  <c:v>-9042</c:v>
                </c:pt>
                <c:pt idx="11">
                  <c:v>-2334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51-4996-9D66-533E0B083BFC}"/>
            </c:ext>
          </c:extLst>
        </c:ser>
        <c:ser>
          <c:idx val="1"/>
          <c:order val="1"/>
          <c:tx>
            <c:strRef>
              <c:f>'PAX ILR TL+NI'!$L$40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'PAX ILR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ILR TL+NI'!$L$41:$L$52</c:f>
              <c:numCache>
                <c:formatCode>#,##0</c:formatCode>
                <c:ptCount val="12"/>
                <c:pt idx="0">
                  <c:v>-2765</c:v>
                </c:pt>
                <c:pt idx="1">
                  <c:v>-6143</c:v>
                </c:pt>
                <c:pt idx="2">
                  <c:v>-6932</c:v>
                </c:pt>
                <c:pt idx="3">
                  <c:v>-4257</c:v>
                </c:pt>
                <c:pt idx="4">
                  <c:v>-16244</c:v>
                </c:pt>
                <c:pt idx="5">
                  <c:v>-49164</c:v>
                </c:pt>
                <c:pt idx="6">
                  <c:v>-109081</c:v>
                </c:pt>
                <c:pt idx="7">
                  <c:v>-116585</c:v>
                </c:pt>
                <c:pt idx="8">
                  <c:v>-44796</c:v>
                </c:pt>
                <c:pt idx="9">
                  <c:v>2375</c:v>
                </c:pt>
                <c:pt idx="10">
                  <c:v>-6903</c:v>
                </c:pt>
                <c:pt idx="11">
                  <c:v>-9523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51-4996-9D66-533E0B083BFC}"/>
            </c:ext>
          </c:extLst>
        </c:ser>
        <c:ser>
          <c:idx val="2"/>
          <c:order val="2"/>
          <c:tx>
            <c:strRef>
              <c:f>'PAX ILR TL+NI'!$M$40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'PAX ILR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ILR TL+NI'!$M$41:$M$52</c:f>
              <c:numCache>
                <c:formatCode>#,##0</c:formatCode>
                <c:ptCount val="12"/>
                <c:pt idx="0">
                  <c:v>-13005</c:v>
                </c:pt>
                <c:pt idx="1">
                  <c:v>-2706</c:v>
                </c:pt>
                <c:pt idx="2">
                  <c:v>-4091</c:v>
                </c:pt>
                <c:pt idx="3">
                  <c:v>-22972</c:v>
                </c:pt>
                <c:pt idx="4">
                  <c:v>-10280</c:v>
                </c:pt>
                <c:pt idx="5">
                  <c:v>-38736</c:v>
                </c:pt>
                <c:pt idx="6">
                  <c:v>-66220</c:v>
                </c:pt>
                <c:pt idx="7">
                  <c:v>-90035</c:v>
                </c:pt>
                <c:pt idx="8">
                  <c:v>-52814</c:v>
                </c:pt>
                <c:pt idx="9">
                  <c:v>-4670</c:v>
                </c:pt>
                <c:pt idx="10">
                  <c:v>-16907</c:v>
                </c:pt>
                <c:pt idx="11">
                  <c:v>-13015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51-4996-9D66-533E0B083BFC}"/>
            </c:ext>
          </c:extLst>
        </c:ser>
        <c:ser>
          <c:idx val="3"/>
          <c:order val="3"/>
          <c:tx>
            <c:strRef>
              <c:f>'PAX ILR TL+NI'!$N$40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'PAX ILR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ILR TL+NI'!$N$41:$N$52</c:f>
              <c:numCache>
                <c:formatCode>#,##0</c:formatCode>
                <c:ptCount val="12"/>
                <c:pt idx="0">
                  <c:v>-6578</c:v>
                </c:pt>
                <c:pt idx="1">
                  <c:v>-8379.6666666666679</c:v>
                </c:pt>
                <c:pt idx="2">
                  <c:v>-2966</c:v>
                </c:pt>
                <c:pt idx="3">
                  <c:v>-17391.666666666664</c:v>
                </c:pt>
                <c:pt idx="4">
                  <c:v>-27356.333333333336</c:v>
                </c:pt>
                <c:pt idx="5">
                  <c:v>-38311.333333333328</c:v>
                </c:pt>
                <c:pt idx="6">
                  <c:v>-113649</c:v>
                </c:pt>
                <c:pt idx="7">
                  <c:v>-127419.33333333337</c:v>
                </c:pt>
                <c:pt idx="8">
                  <c:v>-55726.666666666657</c:v>
                </c:pt>
                <c:pt idx="9">
                  <c:v>-4854.6666666666679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51-4996-9D66-533E0B08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913176"/>
        <c:axId val="378913568"/>
      </c:barChart>
      <c:catAx>
        <c:axId val="378913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913568"/>
        <c:crosses val="autoZero"/>
        <c:auto val="1"/>
        <c:lblAlgn val="ctr"/>
        <c:lblOffset val="100"/>
        <c:noMultiLvlLbl val="0"/>
      </c:catAx>
      <c:valAx>
        <c:axId val="378913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8913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Capacité PAX moyen Porto Vecchio / Toulon </a:t>
            </a:r>
          </a:p>
          <a:p>
            <a:pPr>
              <a:defRPr sz="1400"/>
            </a:pPr>
            <a:r>
              <a:rPr lang="en-US" sz="1400"/>
              <a:t> 2014-2017</a:t>
            </a:r>
          </a:p>
        </c:rich>
      </c:tx>
      <c:layout>
        <c:manualLayout>
          <c:xMode val="edge"/>
          <c:yMode val="edge"/>
          <c:x val="0.18606401724069416"/>
          <c:y val="2.56728871893109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53200958575833"/>
          <c:y val="0.13388528217703724"/>
          <c:w val="0.85672885997945913"/>
          <c:h val="0.77606800739436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2C-46DF-BEBE-AA9B9485F41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2C-46DF-BEBE-AA9B9485F41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C2C-46DF-BEBE-AA9B9485F41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C2C-46DF-BEBE-AA9B9485F41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C2C-46DF-BEBE-AA9B9485F41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C2C-46DF-BEBE-AA9B9485F414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AC2C-46DF-BEBE-AA9B9485F414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AC2C-46DF-BEBE-AA9B9485F414}"/>
              </c:ext>
            </c:extLst>
          </c:dPt>
          <c:dLbls>
            <c:delete val="1"/>
          </c:dLbls>
          <c:cat>
            <c:strRef>
              <c:f>'PAX PVE TL+NI'!$A$3:$A$14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PVE TL+NI'!$F$3:$F$14</c:f>
              <c:numCache>
                <c:formatCode>#\ ##0\ _€</c:formatCode>
                <c:ptCount val="12"/>
                <c:pt idx="0">
                  <c:v>948</c:v>
                </c:pt>
                <c:pt idx="1">
                  <c:v>265</c:v>
                </c:pt>
                <c:pt idx="2">
                  <c:v>0</c:v>
                </c:pt>
                <c:pt idx="3">
                  <c:v>1466.25</c:v>
                </c:pt>
                <c:pt idx="4">
                  <c:v>1000</c:v>
                </c:pt>
                <c:pt idx="5">
                  <c:v>3835.5</c:v>
                </c:pt>
                <c:pt idx="6">
                  <c:v>2884.25</c:v>
                </c:pt>
                <c:pt idx="7">
                  <c:v>4238.75</c:v>
                </c:pt>
                <c:pt idx="8">
                  <c:v>3350.25</c:v>
                </c:pt>
                <c:pt idx="9">
                  <c:v>12039.25</c:v>
                </c:pt>
                <c:pt idx="10">
                  <c:v>626.66666666666663</c:v>
                </c:pt>
                <c:pt idx="11">
                  <c:v>7168.333333333333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C2C-46DF-BEBE-AA9B9485F41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7"/>
        <c:overlap val="-27"/>
        <c:axId val="378914352"/>
        <c:axId val="378914744"/>
      </c:barChart>
      <c:catAx>
        <c:axId val="3789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78914744"/>
        <c:crosses val="autoZero"/>
        <c:auto val="1"/>
        <c:lblAlgn val="ctr"/>
        <c:lblOffset val="100"/>
        <c:noMultiLvlLbl val="0"/>
      </c:catAx>
      <c:valAx>
        <c:axId val="37891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37891435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AJA TL+NI'!$A$1</c:f>
              <c:strCache>
                <c:ptCount val="1"/>
                <c:pt idx="0">
                  <c:v>CAPACITE PAX  AJACCIO TOULON</c:v>
                </c:pt>
              </c:strCache>
            </c:strRef>
          </c:tx>
          <c:invertIfNegative val="0"/>
          <c:cat>
            <c:numRef>
              <c:f>'PAX AJA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TL+NI'!$B$15:$E$15</c:f>
              <c:numCache>
                <c:formatCode>#\ ##0\ _€</c:formatCode>
                <c:ptCount val="4"/>
                <c:pt idx="0">
                  <c:v>2058429</c:v>
                </c:pt>
                <c:pt idx="1">
                  <c:v>2073366</c:v>
                </c:pt>
                <c:pt idx="2">
                  <c:v>2109510</c:v>
                </c:pt>
                <c:pt idx="3">
                  <c:v>1813729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A-4F2D-B067-C263D3F4AF47}"/>
            </c:ext>
          </c:extLst>
        </c:ser>
        <c:ser>
          <c:idx val="1"/>
          <c:order val="1"/>
          <c:tx>
            <c:strRef>
              <c:f>'PAX AJA TL+NI'!$A$20</c:f>
              <c:strCache>
                <c:ptCount val="1"/>
                <c:pt idx="0">
                  <c:v>PAX REALISE AJACCIO TOULON</c:v>
                </c:pt>
              </c:strCache>
            </c:strRef>
          </c:tx>
          <c:invertIfNegative val="0"/>
          <c:cat>
            <c:numRef>
              <c:f>'PAX AJA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TL+NI'!$B$34:$E$34</c:f>
              <c:numCache>
                <c:formatCode>#\ ##0\ _€</c:formatCode>
                <c:ptCount val="4"/>
                <c:pt idx="0">
                  <c:v>614991</c:v>
                </c:pt>
                <c:pt idx="1">
                  <c:v>684594</c:v>
                </c:pt>
                <c:pt idx="2">
                  <c:v>651566</c:v>
                </c:pt>
                <c:pt idx="3">
                  <c:v>617625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A-4F2D-B067-C263D3F4AF47}"/>
            </c:ext>
          </c:extLst>
        </c:ser>
        <c:ser>
          <c:idx val="2"/>
          <c:order val="2"/>
          <c:tx>
            <c:strRef>
              <c:f>'PAX AJA TL+NI'!$A$56</c:f>
              <c:strCache>
                <c:ptCount val="1"/>
                <c:pt idx="0">
                  <c:v>PAX REALISE TOULON + MARSEILLE</c:v>
                </c:pt>
              </c:strCache>
            </c:strRef>
          </c:tx>
          <c:invertIfNegative val="0"/>
          <c:cat>
            <c:numRef>
              <c:f>'PAX AJA TL+NI'!$B$57:$E$57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TL+NI'!$B$70:$E$70</c:f>
              <c:numCache>
                <c:formatCode>#\ ##0\ _€</c:formatCode>
                <c:ptCount val="4"/>
                <c:pt idx="0">
                  <c:v>860760</c:v>
                </c:pt>
                <c:pt idx="1">
                  <c:v>883000</c:v>
                </c:pt>
                <c:pt idx="2">
                  <c:v>835447</c:v>
                </c:pt>
                <c:pt idx="3">
                  <c:v>813279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A-4F2D-B067-C263D3F4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763328"/>
        <c:axId val="491761760"/>
      </c:barChart>
      <c:catAx>
        <c:axId val="4917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1761760"/>
        <c:crosses val="autoZero"/>
        <c:auto val="1"/>
        <c:lblAlgn val="ctr"/>
        <c:lblOffset val="100"/>
        <c:noMultiLvlLbl val="0"/>
      </c:catAx>
      <c:valAx>
        <c:axId val="491761760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crossAx val="49176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PAX </a:t>
            </a:r>
            <a:r>
              <a:rPr lang="en-US" sz="1400"/>
              <a:t>Porto Vecchio / Toulon : </a:t>
            </a:r>
            <a:r>
              <a:rPr lang="en-US" sz="1400" b="1" i="0" u="none" strike="noStrike" baseline="0">
                <a:effectLst/>
              </a:rPr>
              <a:t>Capacité/ Saison</a:t>
            </a:r>
            <a:endParaRPr lang="en-US" sz="1400"/>
          </a:p>
        </c:rich>
      </c:tx>
      <c:layout>
        <c:manualLayout>
          <c:xMode val="edge"/>
          <c:yMode val="edge"/>
          <c:x val="0.165800998419517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13035776568197432"/>
          <c:w val="0.84814777898745763"/>
          <c:h val="0.75366238616146131"/>
        </c:manualLayout>
      </c:layout>
      <c:lineChart>
        <c:grouping val="standard"/>
        <c:varyColors val="0"/>
        <c:ser>
          <c:idx val="1"/>
          <c:order val="0"/>
          <c:tx>
            <c:strRef>
              <c:f>'PAX PVE TL+NI'!$A$18</c:f>
              <c:strCache>
                <c:ptCount val="1"/>
                <c:pt idx="0">
                  <c:v>Haute saison</c:v>
                </c:pt>
              </c:strCache>
            </c:strRef>
          </c:tx>
          <c:marker>
            <c:symbol val="none"/>
          </c:marker>
          <c:cat>
            <c:numRef>
              <c:f>'PAX PVE TL+NI'!$D$21:$E$21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'PAX PVE TL+NI'!$D$18:$E$18</c:f>
              <c:numCache>
                <c:formatCode>#\ ##0\ _€</c:formatCode>
                <c:ptCount val="2"/>
                <c:pt idx="0">
                  <c:v>4135.5</c:v>
                </c:pt>
                <c:pt idx="1">
                  <c:v>7047.833333333333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5-4A98-A4BE-5137D570C8C3}"/>
            </c:ext>
          </c:extLst>
        </c:ser>
        <c:ser>
          <c:idx val="0"/>
          <c:order val="1"/>
          <c:tx>
            <c:strRef>
              <c:f>'PAX PVE TL+NI'!$A$17</c:f>
              <c:strCache>
                <c:ptCount val="1"/>
                <c:pt idx="0">
                  <c:v>Basse saison</c:v>
                </c:pt>
              </c:strCache>
            </c:strRef>
          </c:tx>
          <c:marker>
            <c:symbol val="none"/>
          </c:marker>
          <c:cat>
            <c:numRef>
              <c:f>'PAX PVE TL+NI'!$D$21:$E$21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'PAX PVE TL+NI'!$D$17:$E$17</c:f>
              <c:numCache>
                <c:formatCode>#\ ##0\ _€</c:formatCode>
                <c:ptCount val="2"/>
                <c:pt idx="0">
                  <c:v>11262.166666666666</c:v>
                </c:pt>
                <c:pt idx="1">
                  <c:v>1940.25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515-4A98-A4BE-5137D570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818136"/>
        <c:axId val="378818528"/>
      </c:lineChart>
      <c:catAx>
        <c:axId val="37881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818528"/>
        <c:crosses val="autoZero"/>
        <c:auto val="1"/>
        <c:lblAlgn val="ctr"/>
        <c:lblOffset val="100"/>
        <c:noMultiLvlLbl val="0"/>
      </c:catAx>
      <c:valAx>
        <c:axId val="378818528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78818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38294058679694"/>
          <c:y val="0.25586147369162748"/>
          <c:w val="0.24554221347331584"/>
          <c:h val="0.1628047535724701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PAX Porto</a:t>
            </a:r>
            <a:r>
              <a:rPr lang="en-US" sz="1400" baseline="0"/>
              <a:t> Vecchio</a:t>
            </a:r>
            <a:r>
              <a:rPr lang="en-US" sz="1400"/>
              <a:t> / Toulon : </a:t>
            </a:r>
            <a:r>
              <a:rPr lang="en-US" sz="1400" b="1" i="0" u="none" strike="noStrike" baseline="0">
                <a:effectLst/>
              </a:rPr>
              <a:t>Capacité / Réalisée</a:t>
            </a:r>
            <a:endParaRPr lang="en-US" sz="1400"/>
          </a:p>
        </c:rich>
      </c:tx>
      <c:layout>
        <c:manualLayout>
          <c:xMode val="edge"/>
          <c:yMode val="edge"/>
          <c:x val="0.12209579525847232"/>
          <c:y val="8.397780111800265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21536895136430093"/>
          <c:w val="0.86676324968952845"/>
          <c:h val="0.66865120047913484"/>
        </c:manualLayout>
      </c:layout>
      <c:lineChart>
        <c:grouping val="standard"/>
        <c:varyColors val="0"/>
        <c:ser>
          <c:idx val="1"/>
          <c:order val="0"/>
          <c:tx>
            <c:strRef>
              <c:f>'PAX PVE TL+NI'!$A$1</c:f>
              <c:strCache>
                <c:ptCount val="1"/>
                <c:pt idx="0">
                  <c:v>CAPACITE PAX LIGNES PORTO VECCHIO TOULON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'PAX PVE TL+NI'!$D$15:$E$15</c:f>
              <c:numCache>
                <c:formatCode>#\ ##0\ _€</c:formatCode>
                <c:ptCount val="2"/>
                <c:pt idx="0">
                  <c:v>92386</c:v>
                </c:pt>
                <c:pt idx="1">
                  <c:v>50048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8E-4270-8D9B-849E00BDB90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1"/>
          <c:tx>
            <c:strRef>
              <c:f>'PAX PVE TL+NI'!$A$20</c:f>
              <c:strCache>
                <c:ptCount val="1"/>
                <c:pt idx="0">
                  <c:v>PAX REALISE PORTO VECCHIO TOULON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'PAX PVE TL+NI'!$D$34:$E$34</c:f>
              <c:numCache>
                <c:formatCode>#\ ##0\ _€</c:formatCode>
                <c:ptCount val="2"/>
                <c:pt idx="0">
                  <c:v>18040</c:v>
                </c:pt>
                <c:pt idx="1">
                  <c:v>15520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8E-4270-8D9B-849E00BDB90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819312"/>
        <c:axId val="378819704"/>
      </c:lineChart>
      <c:catAx>
        <c:axId val="3788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819704"/>
        <c:crosses val="autoZero"/>
        <c:auto val="1"/>
        <c:lblAlgn val="ctr"/>
        <c:lblOffset val="100"/>
        <c:noMultiLvlLbl val="0"/>
      </c:catAx>
      <c:valAx>
        <c:axId val="378819704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378819312"/>
        <c:crosses val="autoZero"/>
        <c:crossBetween val="between"/>
        <c:majorUnit val="40000"/>
      </c:valAx>
    </c:plotArea>
    <c:legend>
      <c:legendPos val="r"/>
      <c:layout>
        <c:manualLayout>
          <c:xMode val="edge"/>
          <c:yMode val="edge"/>
          <c:x val="0.18147522567457391"/>
          <c:y val="0.11024965683601462"/>
          <c:w val="0.7708879010886609"/>
          <c:h val="0.2332219001748726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PVE TL+NI'!$A$1</c:f>
              <c:strCache>
                <c:ptCount val="1"/>
                <c:pt idx="0">
                  <c:v>CAPACITE PAX LIGNES PORTO VECCHIO TOULON</c:v>
                </c:pt>
              </c:strCache>
            </c:strRef>
          </c:tx>
          <c:invertIfNegative val="0"/>
          <c:cat>
            <c:numRef>
              <c:f>'PAX PVE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TL+NI'!$B$15:$E$15</c:f>
              <c:numCache>
                <c:formatCode>#\ ##0\ _€</c:formatCode>
                <c:ptCount val="4"/>
                <c:pt idx="0">
                  <c:v>1060</c:v>
                </c:pt>
                <c:pt idx="1">
                  <c:v>0</c:v>
                </c:pt>
                <c:pt idx="2">
                  <c:v>92386</c:v>
                </c:pt>
                <c:pt idx="3">
                  <c:v>50048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9E-4100-867E-0A586B944288}"/>
            </c:ext>
          </c:extLst>
        </c:ser>
        <c:ser>
          <c:idx val="1"/>
          <c:order val="1"/>
          <c:tx>
            <c:strRef>
              <c:f>'PAX PVE TL+NI'!$A$20</c:f>
              <c:strCache>
                <c:ptCount val="1"/>
                <c:pt idx="0">
                  <c:v>PAX REALISE PORTO VECCHIO TOULON</c:v>
                </c:pt>
              </c:strCache>
            </c:strRef>
          </c:tx>
          <c:invertIfNegative val="0"/>
          <c:cat>
            <c:numRef>
              <c:f>'PAX PVE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TL+NI'!$B$34:$E$34</c:f>
              <c:numCache>
                <c:formatCode>#\ ##0\ _€</c:formatCode>
                <c:ptCount val="4"/>
                <c:pt idx="0">
                  <c:v>14361</c:v>
                </c:pt>
                <c:pt idx="1">
                  <c:v>0</c:v>
                </c:pt>
                <c:pt idx="2">
                  <c:v>18040</c:v>
                </c:pt>
                <c:pt idx="3">
                  <c:v>15520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9E-4100-867E-0A586B944288}"/>
            </c:ext>
          </c:extLst>
        </c:ser>
        <c:ser>
          <c:idx val="2"/>
          <c:order val="2"/>
          <c:tx>
            <c:strRef>
              <c:f>'PAX PVE TL+NI'!$A$56</c:f>
              <c:strCache>
                <c:ptCount val="1"/>
                <c:pt idx="0">
                  <c:v>PAX REALISE TOULON + MARSEILLE</c:v>
                </c:pt>
              </c:strCache>
            </c:strRef>
          </c:tx>
          <c:invertIfNegative val="0"/>
          <c:cat>
            <c:numRef>
              <c:f>'PAX PVE TL+NI'!$B$21:$E$21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TL+NI'!$B$70:$E$70</c:f>
              <c:numCache>
                <c:formatCode>#\ ##0\ _€</c:formatCode>
                <c:ptCount val="4"/>
                <c:pt idx="0">
                  <c:v>101367</c:v>
                </c:pt>
                <c:pt idx="1">
                  <c:v>88295</c:v>
                </c:pt>
                <c:pt idx="2">
                  <c:v>108269</c:v>
                </c:pt>
                <c:pt idx="3">
                  <c:v>101740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9E-4100-867E-0A586B944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820488"/>
        <c:axId val="378820880"/>
      </c:barChart>
      <c:catAx>
        <c:axId val="378820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820880"/>
        <c:crosses val="autoZero"/>
        <c:auto val="1"/>
        <c:lblAlgn val="ctr"/>
        <c:lblOffset val="100"/>
        <c:noMultiLvlLbl val="0"/>
      </c:catAx>
      <c:valAx>
        <c:axId val="378820880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crossAx val="378820488"/>
        <c:crosses val="autoZero"/>
        <c:crossBetween val="between"/>
        <c:majorUnit val="4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SOLDE OFFRE CAPACITAIRE (TOULON+NICE) - REALISE (TOULON + MARSEILLE+NICE)</a:t>
            </a:r>
          </a:p>
        </c:rich>
      </c:tx>
      <c:layout>
        <c:manualLayout>
          <c:xMode val="edge"/>
          <c:yMode val="edge"/>
          <c:x val="0.10616058873325485"/>
          <c:y val="4.6852732270575632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PVE TL+NI'!$J$22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TL+NI'!$K$22:$N$22</c:f>
              <c:numCache>
                <c:formatCode>#,##0</c:formatCode>
                <c:ptCount val="4"/>
                <c:pt idx="0">
                  <c:v>-1313</c:v>
                </c:pt>
                <c:pt idx="1">
                  <c:v>-2362</c:v>
                </c:pt>
                <c:pt idx="2">
                  <c:v>127</c:v>
                </c:pt>
                <c:pt idx="3">
                  <c:v>-3233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FC-4420-BC18-6D499B509A01}"/>
            </c:ext>
          </c:extLst>
        </c:ser>
        <c:ser>
          <c:idx val="1"/>
          <c:order val="1"/>
          <c:tx>
            <c:strRef>
              <c:f>'PAX PVE TL+NI'!$J$23</c:f>
              <c:strCache>
                <c:ptCount val="1"/>
                <c:pt idx="0">
                  <c:v>fév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TL+NI'!$K$23:$N$23</c:f>
              <c:numCache>
                <c:formatCode>#,##0</c:formatCode>
                <c:ptCount val="4"/>
                <c:pt idx="0">
                  <c:v>-1689</c:v>
                </c:pt>
                <c:pt idx="1">
                  <c:v>-2331</c:v>
                </c:pt>
                <c:pt idx="2">
                  <c:v>-2761</c:v>
                </c:pt>
                <c:pt idx="3">
                  <c:v>-5762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FC-4420-BC18-6D499B509A01}"/>
            </c:ext>
          </c:extLst>
        </c:ser>
        <c:ser>
          <c:idx val="2"/>
          <c:order val="2"/>
          <c:tx>
            <c:strRef>
              <c:f>'PAX PVE TL+NI'!$J$24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TL+NI'!$K$24:$N$24</c:f>
              <c:numCache>
                <c:formatCode>#,##0</c:formatCode>
                <c:ptCount val="4"/>
                <c:pt idx="0">
                  <c:v>-3760</c:v>
                </c:pt>
                <c:pt idx="1">
                  <c:v>-2736</c:v>
                </c:pt>
                <c:pt idx="2">
                  <c:v>-2742</c:v>
                </c:pt>
                <c:pt idx="3">
                  <c:v>-5602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BFC-4420-BC18-6D499B509A01}"/>
            </c:ext>
          </c:extLst>
        </c:ser>
        <c:ser>
          <c:idx val="3"/>
          <c:order val="3"/>
          <c:tx>
            <c:strRef>
              <c:f>'PAX PVE TL+NI'!$J$25</c:f>
              <c:strCache>
                <c:ptCount val="1"/>
                <c:pt idx="0">
                  <c:v>avr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TL+NI'!$K$25:$N$25</c:f>
              <c:numCache>
                <c:formatCode>#,##0</c:formatCode>
                <c:ptCount val="4"/>
                <c:pt idx="0">
                  <c:v>-5509</c:v>
                </c:pt>
                <c:pt idx="1">
                  <c:v>-5503</c:v>
                </c:pt>
                <c:pt idx="2">
                  <c:v>-5518</c:v>
                </c:pt>
                <c:pt idx="3">
                  <c:v>-4722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FC-4420-BC18-6D499B509A01}"/>
            </c:ext>
          </c:extLst>
        </c:ser>
        <c:ser>
          <c:idx val="4"/>
          <c:order val="4"/>
          <c:tx>
            <c:strRef>
              <c:f>'PAX PVE TL+NI'!$J$26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TL+NI'!$K$26:$N$26</c:f>
              <c:numCache>
                <c:formatCode>#,##0</c:formatCode>
                <c:ptCount val="4"/>
                <c:pt idx="0">
                  <c:v>-9066</c:v>
                </c:pt>
                <c:pt idx="1">
                  <c:v>-7408</c:v>
                </c:pt>
                <c:pt idx="2">
                  <c:v>-7567</c:v>
                </c:pt>
                <c:pt idx="3">
                  <c:v>-4743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BFC-4420-BC18-6D499B509A01}"/>
            </c:ext>
          </c:extLst>
        </c:ser>
        <c:ser>
          <c:idx val="5"/>
          <c:order val="5"/>
          <c:tx>
            <c:strRef>
              <c:f>'PAX PVE TL+NI'!$J$27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TL+NI'!$K$27:$N$27</c:f>
              <c:numCache>
                <c:formatCode>#,##0</c:formatCode>
                <c:ptCount val="4"/>
                <c:pt idx="0">
                  <c:v>-8806</c:v>
                </c:pt>
                <c:pt idx="1">
                  <c:v>-8999</c:v>
                </c:pt>
                <c:pt idx="2">
                  <c:v>4124</c:v>
                </c:pt>
                <c:pt idx="3">
                  <c:v>3814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BFC-4420-BC18-6D499B509A01}"/>
            </c:ext>
          </c:extLst>
        </c:ser>
        <c:ser>
          <c:idx val="6"/>
          <c:order val="6"/>
          <c:tx>
            <c:strRef>
              <c:f>'PAX PVE TL+NI'!$J$28</c:f>
              <c:strCache>
                <c:ptCount val="1"/>
                <c:pt idx="0">
                  <c:v>juil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TL+NI'!$K$28:$N$28</c:f>
              <c:numCache>
                <c:formatCode>#,##0</c:formatCode>
                <c:ptCount val="4"/>
                <c:pt idx="0">
                  <c:v>-14942</c:v>
                </c:pt>
                <c:pt idx="1">
                  <c:v>-15288</c:v>
                </c:pt>
                <c:pt idx="2">
                  <c:v>-10778</c:v>
                </c:pt>
                <c:pt idx="3">
                  <c:v>-6174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BFC-4420-BC18-6D499B509A01}"/>
            </c:ext>
          </c:extLst>
        </c:ser>
        <c:ser>
          <c:idx val="7"/>
          <c:order val="7"/>
          <c:tx>
            <c:strRef>
              <c:f>'PAX PVE TL+NI'!$J$29</c:f>
              <c:strCache>
                <c:ptCount val="1"/>
                <c:pt idx="0">
                  <c:v>aou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TL+NI'!$K$29:$N$29</c:f>
              <c:numCache>
                <c:formatCode>#,##0</c:formatCode>
                <c:ptCount val="4"/>
                <c:pt idx="0">
                  <c:v>-32834</c:v>
                </c:pt>
                <c:pt idx="1">
                  <c:v>-21513</c:v>
                </c:pt>
                <c:pt idx="2">
                  <c:v>-6936</c:v>
                </c:pt>
                <c:pt idx="3">
                  <c:v>-7269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BFC-4420-BC18-6D499B509A01}"/>
            </c:ext>
          </c:extLst>
        </c:ser>
        <c:ser>
          <c:idx val="8"/>
          <c:order val="8"/>
          <c:tx>
            <c:strRef>
              <c:f>'PAX PVE TL+NI'!$J$30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TL+NI'!$K$30:$N$30</c:f>
              <c:numCache>
                <c:formatCode>#,##0</c:formatCode>
                <c:ptCount val="4"/>
                <c:pt idx="0">
                  <c:v>-10049</c:v>
                </c:pt>
                <c:pt idx="1">
                  <c:v>-9428</c:v>
                </c:pt>
                <c:pt idx="2">
                  <c:v>4886</c:v>
                </c:pt>
                <c:pt idx="3">
                  <c:v>5708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BFC-4420-BC18-6D499B509A01}"/>
            </c:ext>
          </c:extLst>
        </c:ser>
        <c:ser>
          <c:idx val="9"/>
          <c:order val="9"/>
          <c:tx>
            <c:strRef>
              <c:f>'PAX PVE TL+NI'!$J$31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TL+NI'!$K$31:$N$31</c:f>
              <c:numCache>
                <c:formatCode>#,##0</c:formatCode>
                <c:ptCount val="4"/>
                <c:pt idx="0">
                  <c:v>-6593</c:v>
                </c:pt>
                <c:pt idx="1">
                  <c:v>-6916</c:v>
                </c:pt>
                <c:pt idx="2">
                  <c:v>27335</c:v>
                </c:pt>
                <c:pt idx="3">
                  <c:v>-1039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BFC-4420-BC18-6D499B509A01}"/>
            </c:ext>
          </c:extLst>
        </c:ser>
        <c:ser>
          <c:idx val="10"/>
          <c:order val="10"/>
          <c:tx>
            <c:strRef>
              <c:f>'PAX PVE TL+NI'!$J$32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TL+NI'!$K$32:$N$32</c:f>
              <c:numCache>
                <c:formatCode>#,##0</c:formatCode>
                <c:ptCount val="4"/>
                <c:pt idx="0">
                  <c:v>-2674</c:v>
                </c:pt>
                <c:pt idx="1">
                  <c:v>-2345</c:v>
                </c:pt>
                <c:pt idx="2">
                  <c:v>7959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BFC-4420-BC18-6D499B509A01}"/>
            </c:ext>
          </c:extLst>
        </c:ser>
        <c:ser>
          <c:idx val="11"/>
          <c:order val="11"/>
          <c:tx>
            <c:strRef>
              <c:f>'PAX PVE TL+NI'!$J$33</c:f>
              <c:strCache>
                <c:ptCount val="1"/>
                <c:pt idx="0">
                  <c:v>déc</c:v>
                </c:pt>
              </c:strCache>
            </c:strRef>
          </c:tx>
          <c:invertIfNegative val="0"/>
          <c:cat>
            <c:numRef>
              <c:f>'PAX PVE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PVE TL+NI'!$K$33:$N$33</c:f>
              <c:numCache>
                <c:formatCode>#,##0</c:formatCode>
                <c:ptCount val="4"/>
                <c:pt idx="0">
                  <c:v>-3072</c:v>
                </c:pt>
                <c:pt idx="1">
                  <c:v>-3466</c:v>
                </c:pt>
                <c:pt idx="2">
                  <c:v>24352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BFC-4420-BC18-6D499B50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821664"/>
        <c:axId val="415440928"/>
      </c:barChart>
      <c:catAx>
        <c:axId val="3788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5440928"/>
        <c:crosses val="autoZero"/>
        <c:auto val="1"/>
        <c:lblAlgn val="ctr"/>
        <c:lblOffset val="100"/>
        <c:noMultiLvlLbl val="0"/>
      </c:catAx>
      <c:valAx>
        <c:axId val="415440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882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BESOIN SERVICE PUBLIC PAX TOULON+NICE -PORTO-VECCHIO (2014-2017)</a:t>
            </a:r>
          </a:p>
        </c:rich>
      </c:tx>
      <c:layout>
        <c:manualLayout>
          <c:xMode val="edge"/>
          <c:yMode val="edge"/>
          <c:x val="0.10059655910542761"/>
          <c:y val="3.005525018777136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PVE TL+NI'!$K$40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'PAX PVE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PVE TL+NI'!$K$41:$K$52</c:f>
              <c:numCache>
                <c:formatCode>#,##0</c:formatCode>
                <c:ptCount val="12"/>
                <c:pt idx="0">
                  <c:v>1313</c:v>
                </c:pt>
                <c:pt idx="1">
                  <c:v>1689</c:v>
                </c:pt>
                <c:pt idx="2">
                  <c:v>3760</c:v>
                </c:pt>
                <c:pt idx="3">
                  <c:v>5509</c:v>
                </c:pt>
                <c:pt idx="4">
                  <c:v>9066</c:v>
                </c:pt>
                <c:pt idx="5">
                  <c:v>8806</c:v>
                </c:pt>
                <c:pt idx="6">
                  <c:v>14942</c:v>
                </c:pt>
                <c:pt idx="7">
                  <c:v>32834</c:v>
                </c:pt>
                <c:pt idx="8">
                  <c:v>10049</c:v>
                </c:pt>
                <c:pt idx="9">
                  <c:v>6593</c:v>
                </c:pt>
                <c:pt idx="10">
                  <c:v>2674</c:v>
                </c:pt>
                <c:pt idx="11">
                  <c:v>3072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0D-45DD-9A45-90A4AF54FF34}"/>
            </c:ext>
          </c:extLst>
        </c:ser>
        <c:ser>
          <c:idx val="1"/>
          <c:order val="1"/>
          <c:tx>
            <c:strRef>
              <c:f>'PAX PVE TL+NI'!$L$40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'PAX PVE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PVE TL+NI'!$L$41:$L$52</c:f>
              <c:numCache>
                <c:formatCode>#,##0</c:formatCode>
                <c:ptCount val="12"/>
                <c:pt idx="0">
                  <c:v>2362</c:v>
                </c:pt>
                <c:pt idx="1">
                  <c:v>2331</c:v>
                </c:pt>
                <c:pt idx="2">
                  <c:v>2736</c:v>
                </c:pt>
                <c:pt idx="3">
                  <c:v>5503</c:v>
                </c:pt>
                <c:pt idx="4">
                  <c:v>7408</c:v>
                </c:pt>
                <c:pt idx="5">
                  <c:v>8999</c:v>
                </c:pt>
                <c:pt idx="6">
                  <c:v>15288</c:v>
                </c:pt>
                <c:pt idx="7">
                  <c:v>21513</c:v>
                </c:pt>
                <c:pt idx="8">
                  <c:v>9428</c:v>
                </c:pt>
                <c:pt idx="9">
                  <c:v>6916</c:v>
                </c:pt>
                <c:pt idx="10">
                  <c:v>2345</c:v>
                </c:pt>
                <c:pt idx="11">
                  <c:v>3466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0D-45DD-9A45-90A4AF54FF34}"/>
            </c:ext>
          </c:extLst>
        </c:ser>
        <c:ser>
          <c:idx val="2"/>
          <c:order val="2"/>
          <c:tx>
            <c:strRef>
              <c:f>'PAX PVE TL+NI'!$M$40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'PAX PVE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PVE TL+NI'!$M$41:$M$52</c:f>
              <c:numCache>
                <c:formatCode>#,##0</c:formatCode>
                <c:ptCount val="12"/>
                <c:pt idx="0">
                  <c:v>-127</c:v>
                </c:pt>
                <c:pt idx="1">
                  <c:v>2761</c:v>
                </c:pt>
                <c:pt idx="2">
                  <c:v>2742</c:v>
                </c:pt>
                <c:pt idx="3">
                  <c:v>5518</c:v>
                </c:pt>
                <c:pt idx="4">
                  <c:v>7567</c:v>
                </c:pt>
                <c:pt idx="5">
                  <c:v>-4124</c:v>
                </c:pt>
                <c:pt idx="6">
                  <c:v>10778</c:v>
                </c:pt>
                <c:pt idx="7">
                  <c:v>6936</c:v>
                </c:pt>
                <c:pt idx="8">
                  <c:v>-4886</c:v>
                </c:pt>
                <c:pt idx="9">
                  <c:v>-27335</c:v>
                </c:pt>
                <c:pt idx="10">
                  <c:v>-7959</c:v>
                </c:pt>
                <c:pt idx="11">
                  <c:v>-24352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0D-45DD-9A45-90A4AF54FF34}"/>
            </c:ext>
          </c:extLst>
        </c:ser>
        <c:ser>
          <c:idx val="3"/>
          <c:order val="3"/>
          <c:tx>
            <c:strRef>
              <c:f>'PAX PVE TL+NI'!$N$40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'PAX PVE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PVE TL+NI'!$N$41:$N$52</c:f>
              <c:numCache>
                <c:formatCode>#,##0</c:formatCode>
                <c:ptCount val="12"/>
                <c:pt idx="0">
                  <c:v>3233</c:v>
                </c:pt>
                <c:pt idx="1">
                  <c:v>5762</c:v>
                </c:pt>
                <c:pt idx="2">
                  <c:v>5602</c:v>
                </c:pt>
                <c:pt idx="3">
                  <c:v>4722</c:v>
                </c:pt>
                <c:pt idx="4">
                  <c:v>4743</c:v>
                </c:pt>
                <c:pt idx="5">
                  <c:v>-3814</c:v>
                </c:pt>
                <c:pt idx="6">
                  <c:v>6174</c:v>
                </c:pt>
                <c:pt idx="7">
                  <c:v>7269</c:v>
                </c:pt>
                <c:pt idx="8">
                  <c:v>-5708</c:v>
                </c:pt>
                <c:pt idx="9">
                  <c:v>1039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0D-45DD-9A45-90A4AF54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441712"/>
        <c:axId val="415442104"/>
      </c:barChart>
      <c:catAx>
        <c:axId val="41544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5442104"/>
        <c:crosses val="autoZero"/>
        <c:auto val="1"/>
        <c:lblAlgn val="ctr"/>
        <c:lblOffset val="100"/>
        <c:noMultiLvlLbl val="0"/>
      </c:catAx>
      <c:valAx>
        <c:axId val="415442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544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SOLDE OFFRE CAPACITAIRE (TOULON+NICE) - REALISE (TOULON + MARSEILLE+NICE)</a:t>
            </a:r>
          </a:p>
        </c:rich>
      </c:tx>
      <c:layout>
        <c:manualLayout>
          <c:xMode val="edge"/>
          <c:yMode val="edge"/>
          <c:x val="0.10808202062470179"/>
          <c:y val="5.6973739528111314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PVE TL+NI '!$AB$22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'!$AC$22:$AG$22</c:f>
              <c:numCache>
                <c:formatCode>#,##0</c:formatCode>
                <c:ptCount val="5"/>
                <c:pt idx="0">
                  <c:v>-7702</c:v>
                </c:pt>
                <c:pt idx="1">
                  <c:v>-10779</c:v>
                </c:pt>
                <c:pt idx="2">
                  <c:v>-7820.6</c:v>
                </c:pt>
                <c:pt idx="3">
                  <c:v>-11780.6</c:v>
                </c:pt>
                <c:pt idx="4" formatCode="0">
                  <c:v>-9520.5499999999993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C7-4485-A846-8BB3C25440A9}"/>
            </c:ext>
          </c:extLst>
        </c:ser>
        <c:ser>
          <c:idx val="1"/>
          <c:order val="1"/>
          <c:tx>
            <c:strRef>
              <c:f>'ROLL+VL PVE TL+NI '!$AB$23</c:f>
              <c:strCache>
                <c:ptCount val="1"/>
                <c:pt idx="0">
                  <c:v>fév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'!$AC$23:$AG$23</c:f>
              <c:numCache>
                <c:formatCode>#,##0</c:formatCode>
                <c:ptCount val="5"/>
                <c:pt idx="0">
                  <c:v>-8999.44</c:v>
                </c:pt>
                <c:pt idx="1">
                  <c:v>-11720</c:v>
                </c:pt>
                <c:pt idx="2">
                  <c:v>-12595</c:v>
                </c:pt>
                <c:pt idx="3">
                  <c:v>-15413</c:v>
                </c:pt>
                <c:pt idx="4" formatCode="0">
                  <c:v>-12181.86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C7-4485-A846-8BB3C25440A9}"/>
            </c:ext>
          </c:extLst>
        </c:ser>
        <c:ser>
          <c:idx val="2"/>
          <c:order val="2"/>
          <c:tx>
            <c:strRef>
              <c:f>'ROLL+VL PVE TL+NI '!$AB$24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'!$AC$24:$AG$24</c:f>
              <c:numCache>
                <c:formatCode>#,##0</c:formatCode>
                <c:ptCount val="5"/>
                <c:pt idx="0">
                  <c:v>-12811</c:v>
                </c:pt>
                <c:pt idx="1">
                  <c:v>-13135</c:v>
                </c:pt>
                <c:pt idx="2">
                  <c:v>-13053</c:v>
                </c:pt>
                <c:pt idx="3">
                  <c:v>-21525</c:v>
                </c:pt>
                <c:pt idx="4" formatCode="0">
                  <c:v>-15131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C7-4485-A846-8BB3C25440A9}"/>
            </c:ext>
          </c:extLst>
        </c:ser>
        <c:ser>
          <c:idx val="3"/>
          <c:order val="3"/>
          <c:tx>
            <c:strRef>
              <c:f>'ROLL+VL PVE TL+NI '!$AB$25</c:f>
              <c:strCache>
                <c:ptCount val="1"/>
                <c:pt idx="0">
                  <c:v>avr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'!$AC$25:$AG$25</c:f>
              <c:numCache>
                <c:formatCode>#,##0</c:formatCode>
                <c:ptCount val="5"/>
                <c:pt idx="0">
                  <c:v>-17556</c:v>
                </c:pt>
                <c:pt idx="1">
                  <c:v>-17918</c:v>
                </c:pt>
                <c:pt idx="2">
                  <c:v>-18336</c:v>
                </c:pt>
                <c:pt idx="3">
                  <c:v>-15024.320000000002</c:v>
                </c:pt>
                <c:pt idx="4" formatCode="0">
                  <c:v>-17208.580000000002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C7-4485-A846-8BB3C25440A9}"/>
            </c:ext>
          </c:extLst>
        </c:ser>
        <c:ser>
          <c:idx val="4"/>
          <c:order val="4"/>
          <c:tx>
            <c:strRef>
              <c:f>'ROLL+VL PVE TL+NI '!$AB$26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'!$AC$26:$AG$26</c:f>
              <c:numCache>
                <c:formatCode>#,##0</c:formatCode>
                <c:ptCount val="5"/>
                <c:pt idx="0">
                  <c:v>-22701</c:v>
                </c:pt>
                <c:pt idx="1">
                  <c:v>-21030</c:v>
                </c:pt>
                <c:pt idx="2">
                  <c:v>-20994</c:v>
                </c:pt>
                <c:pt idx="3">
                  <c:v>-21780.28</c:v>
                </c:pt>
                <c:pt idx="4" formatCode="0">
                  <c:v>-21626.32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C7-4485-A846-8BB3C25440A9}"/>
            </c:ext>
          </c:extLst>
        </c:ser>
        <c:ser>
          <c:idx val="5"/>
          <c:order val="5"/>
          <c:tx>
            <c:strRef>
              <c:f>'ROLL+VL PVE TL+NI '!$AB$27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'!$AC$27:$AG$27</c:f>
              <c:numCache>
                <c:formatCode>#,##0</c:formatCode>
                <c:ptCount val="5"/>
                <c:pt idx="0">
                  <c:v>-20993</c:v>
                </c:pt>
                <c:pt idx="1">
                  <c:v>-24739</c:v>
                </c:pt>
                <c:pt idx="2">
                  <c:v>-24241.040000000001</c:v>
                </c:pt>
                <c:pt idx="3">
                  <c:v>-28207.239999999998</c:v>
                </c:pt>
                <c:pt idx="4" formatCode="0">
                  <c:v>-24545.07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C7-4485-A846-8BB3C25440A9}"/>
            </c:ext>
          </c:extLst>
        </c:ser>
        <c:ser>
          <c:idx val="6"/>
          <c:order val="6"/>
          <c:tx>
            <c:strRef>
              <c:f>'ROLL+VL PVE TL+NI '!$AB$28</c:f>
              <c:strCache>
                <c:ptCount val="1"/>
                <c:pt idx="0">
                  <c:v>juil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'!$AC$28:$AG$28</c:f>
              <c:numCache>
                <c:formatCode>#,##0</c:formatCode>
                <c:ptCount val="5"/>
                <c:pt idx="0">
                  <c:v>-21699</c:v>
                </c:pt>
                <c:pt idx="1">
                  <c:v>-30407</c:v>
                </c:pt>
                <c:pt idx="2">
                  <c:v>-34918.879999999997</c:v>
                </c:pt>
                <c:pt idx="3">
                  <c:v>-31031.440000000002</c:v>
                </c:pt>
                <c:pt idx="4" formatCode="0">
                  <c:v>-29514.080000000002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C7-4485-A846-8BB3C25440A9}"/>
            </c:ext>
          </c:extLst>
        </c:ser>
        <c:ser>
          <c:idx val="7"/>
          <c:order val="7"/>
          <c:tx>
            <c:strRef>
              <c:f>'ROLL+VL PVE TL+NI '!$AB$29</c:f>
              <c:strCache>
                <c:ptCount val="1"/>
                <c:pt idx="0">
                  <c:v>aou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'!$AC$29:$AG$29</c:f>
              <c:numCache>
                <c:formatCode>#,##0</c:formatCode>
                <c:ptCount val="5"/>
                <c:pt idx="0">
                  <c:v>-30473</c:v>
                </c:pt>
                <c:pt idx="1">
                  <c:v>-31881</c:v>
                </c:pt>
                <c:pt idx="2">
                  <c:v>-31904.880000000001</c:v>
                </c:pt>
                <c:pt idx="3">
                  <c:v>-36597</c:v>
                </c:pt>
                <c:pt idx="4" formatCode="0">
                  <c:v>-32713.97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C7-4485-A846-8BB3C25440A9}"/>
            </c:ext>
          </c:extLst>
        </c:ser>
        <c:ser>
          <c:idx val="8"/>
          <c:order val="8"/>
          <c:tx>
            <c:strRef>
              <c:f>'ROLL+VL PVE TL+NI '!$AB$30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'!$AC$30:$AG$30</c:f>
              <c:numCache>
                <c:formatCode>#,##0</c:formatCode>
                <c:ptCount val="5"/>
                <c:pt idx="0">
                  <c:v>-21736</c:v>
                </c:pt>
                <c:pt idx="1">
                  <c:v>-22690</c:v>
                </c:pt>
                <c:pt idx="2">
                  <c:v>-23675.88</c:v>
                </c:pt>
                <c:pt idx="3">
                  <c:v>-23569.88</c:v>
                </c:pt>
                <c:pt idx="4" formatCode="0">
                  <c:v>-22917.940000000002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C7-4485-A846-8BB3C25440A9}"/>
            </c:ext>
          </c:extLst>
        </c:ser>
        <c:ser>
          <c:idx val="9"/>
          <c:order val="9"/>
          <c:tx>
            <c:strRef>
              <c:f>'ROLL+VL PVE TL+NI '!$AB$31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'!$AC$31:$AG$31</c:f>
              <c:numCache>
                <c:formatCode>#,##0</c:formatCode>
                <c:ptCount val="5"/>
                <c:pt idx="0">
                  <c:v>-17599</c:v>
                </c:pt>
                <c:pt idx="1">
                  <c:v>-16741</c:v>
                </c:pt>
                <c:pt idx="2">
                  <c:v>-4608.2000000000044</c:v>
                </c:pt>
                <c:pt idx="3">
                  <c:v>-19062.68</c:v>
                </c:pt>
                <c:pt idx="4" formatCode="0">
                  <c:v>-14502.720000000001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C7-4485-A846-8BB3C25440A9}"/>
            </c:ext>
          </c:extLst>
        </c:ser>
        <c:ser>
          <c:idx val="10"/>
          <c:order val="10"/>
          <c:tx>
            <c:strRef>
              <c:f>'ROLL+VL PVE TL+NI '!$AB$32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'!$AC$32:$AG$32</c:f>
              <c:numCache>
                <c:formatCode>#,##0</c:formatCode>
                <c:ptCount val="5"/>
                <c:pt idx="0">
                  <c:v>-9562</c:v>
                </c:pt>
                <c:pt idx="1">
                  <c:v>-9027</c:v>
                </c:pt>
                <c:pt idx="2">
                  <c:v>-16744</c:v>
                </c:pt>
                <c:pt idx="3">
                  <c:v>-8115</c:v>
                </c:pt>
                <c:pt idx="4" formatCode="0">
                  <c:v>-10862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C7-4485-A846-8BB3C25440A9}"/>
            </c:ext>
          </c:extLst>
        </c:ser>
        <c:ser>
          <c:idx val="11"/>
          <c:order val="11"/>
          <c:tx>
            <c:strRef>
              <c:f>'ROLL+VL PVE TL+NI '!$AB$33</c:f>
              <c:strCache>
                <c:ptCount val="1"/>
                <c:pt idx="0">
                  <c:v>déc</c:v>
                </c:pt>
              </c:strCache>
            </c:strRef>
          </c:tx>
          <c:invertIfNegative val="0"/>
          <c:cat>
            <c:strRef>
              <c:f>'ROLL+VL PVE TL+NI '!$AC$21:$AG$21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MOYENNE</c:v>
                </c:pt>
              </c:strCache>
            </c:strRef>
          </c:cat>
          <c:val>
            <c:numRef>
              <c:f>'ROLL+VL PVE TL+NI '!$AC$33:$AG$33</c:f>
              <c:numCache>
                <c:formatCode>#,##0</c:formatCode>
                <c:ptCount val="5"/>
                <c:pt idx="0">
                  <c:v>-9897</c:v>
                </c:pt>
                <c:pt idx="1">
                  <c:v>-10801</c:v>
                </c:pt>
                <c:pt idx="2">
                  <c:v>-9620.4400000000023</c:v>
                </c:pt>
                <c:pt idx="4" formatCode="0">
                  <c:v>-10106.146666666667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C7-4485-A846-8BB3C254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442888"/>
        <c:axId val="415443280"/>
      </c:barChart>
      <c:catAx>
        <c:axId val="415442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5443280"/>
        <c:crosses val="autoZero"/>
        <c:auto val="1"/>
        <c:lblAlgn val="ctr"/>
        <c:lblOffset val="100"/>
        <c:noMultiLvlLbl val="0"/>
      </c:catAx>
      <c:valAx>
        <c:axId val="415443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5442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BESOIN SERVICE PUBLIC ROLL TOULON +NICE -PORTO VECCHIO (2014-2017)</a:t>
            </a:r>
          </a:p>
        </c:rich>
      </c:tx>
      <c:layout>
        <c:manualLayout>
          <c:xMode val="edge"/>
          <c:yMode val="edge"/>
          <c:x val="0.13078002990759968"/>
          <c:y val="6.3706568548518569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'ROLL+VL PVE TL+NI '!$AC$40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'ROLL+VL PVE TL+NI '!$AB$41:$AB$53</c:f>
              <c:strCache>
                <c:ptCount val="13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  <c:pt idx="12">
                  <c:v>TOTAL</c:v>
                </c:pt>
              </c:strCache>
            </c:strRef>
          </c:cat>
          <c:val>
            <c:numRef>
              <c:f>'ROLL+VL PVE TL+NI '!$AC$41:$AC$53</c:f>
              <c:numCache>
                <c:formatCode>#,##0</c:formatCode>
                <c:ptCount val="13"/>
                <c:pt idx="0">
                  <c:v>7702</c:v>
                </c:pt>
                <c:pt idx="1">
                  <c:v>8999.44</c:v>
                </c:pt>
                <c:pt idx="2">
                  <c:v>12811</c:v>
                </c:pt>
                <c:pt idx="3">
                  <c:v>17556</c:v>
                </c:pt>
                <c:pt idx="4">
                  <c:v>22701</c:v>
                </c:pt>
                <c:pt idx="5">
                  <c:v>20993</c:v>
                </c:pt>
                <c:pt idx="6">
                  <c:v>21699</c:v>
                </c:pt>
                <c:pt idx="7">
                  <c:v>30473</c:v>
                </c:pt>
                <c:pt idx="8">
                  <c:v>21736</c:v>
                </c:pt>
                <c:pt idx="9">
                  <c:v>17599</c:v>
                </c:pt>
                <c:pt idx="10">
                  <c:v>9562</c:v>
                </c:pt>
                <c:pt idx="11">
                  <c:v>9897</c:v>
                </c:pt>
                <c:pt idx="12" formatCode="#\ ##0\ _€">
                  <c:v>201728.44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EC-42C0-A68D-B9DBC512A8EE}"/>
            </c:ext>
          </c:extLst>
        </c:ser>
        <c:ser>
          <c:idx val="1"/>
          <c:order val="1"/>
          <c:tx>
            <c:strRef>
              <c:f>'ROLL+VL PVE TL+NI '!$AD$40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'ROLL+VL PVE TL+NI '!$AB$41:$AB$53</c:f>
              <c:strCache>
                <c:ptCount val="13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  <c:pt idx="12">
                  <c:v>TOTAL</c:v>
                </c:pt>
              </c:strCache>
            </c:strRef>
          </c:cat>
          <c:val>
            <c:numRef>
              <c:f>'ROLL+VL PVE TL+NI '!$AD$41:$AD$53</c:f>
              <c:numCache>
                <c:formatCode>#,##0</c:formatCode>
                <c:ptCount val="13"/>
                <c:pt idx="0">
                  <c:v>10779</c:v>
                </c:pt>
                <c:pt idx="1">
                  <c:v>11720</c:v>
                </c:pt>
                <c:pt idx="2">
                  <c:v>13135</c:v>
                </c:pt>
                <c:pt idx="3">
                  <c:v>17918</c:v>
                </c:pt>
                <c:pt idx="4">
                  <c:v>21030</c:v>
                </c:pt>
                <c:pt idx="5">
                  <c:v>24739</c:v>
                </c:pt>
                <c:pt idx="6">
                  <c:v>30407</c:v>
                </c:pt>
                <c:pt idx="7">
                  <c:v>31881</c:v>
                </c:pt>
                <c:pt idx="8">
                  <c:v>22690</c:v>
                </c:pt>
                <c:pt idx="9">
                  <c:v>16741</c:v>
                </c:pt>
                <c:pt idx="10">
                  <c:v>9027</c:v>
                </c:pt>
                <c:pt idx="11">
                  <c:v>10801</c:v>
                </c:pt>
                <c:pt idx="12" formatCode="#\ ##0\ _€">
                  <c:v>220868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EC-42C0-A68D-B9DBC512A8EE}"/>
            </c:ext>
          </c:extLst>
        </c:ser>
        <c:ser>
          <c:idx val="2"/>
          <c:order val="2"/>
          <c:tx>
            <c:strRef>
              <c:f>'ROLL+VL PVE TL+NI '!$AE$40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'ROLL+VL PVE TL+NI '!$AB$41:$AB$53</c:f>
              <c:strCache>
                <c:ptCount val="13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  <c:pt idx="12">
                  <c:v>TOTAL</c:v>
                </c:pt>
              </c:strCache>
            </c:strRef>
          </c:cat>
          <c:val>
            <c:numRef>
              <c:f>'ROLL+VL PVE TL+NI '!$AE$41:$AE$53</c:f>
              <c:numCache>
                <c:formatCode>#,##0</c:formatCode>
                <c:ptCount val="13"/>
                <c:pt idx="0">
                  <c:v>7820.6</c:v>
                </c:pt>
                <c:pt idx="1">
                  <c:v>12595</c:v>
                </c:pt>
                <c:pt idx="2">
                  <c:v>13053</c:v>
                </c:pt>
                <c:pt idx="3">
                  <c:v>18336</c:v>
                </c:pt>
                <c:pt idx="4">
                  <c:v>20994</c:v>
                </c:pt>
                <c:pt idx="5">
                  <c:v>24241.040000000001</c:v>
                </c:pt>
                <c:pt idx="6">
                  <c:v>34918.879999999997</c:v>
                </c:pt>
                <c:pt idx="7">
                  <c:v>31904.880000000001</c:v>
                </c:pt>
                <c:pt idx="8">
                  <c:v>23675.88</c:v>
                </c:pt>
                <c:pt idx="9">
                  <c:v>4608.2000000000044</c:v>
                </c:pt>
                <c:pt idx="10">
                  <c:v>16744</c:v>
                </c:pt>
                <c:pt idx="11">
                  <c:v>9620.4400000000023</c:v>
                </c:pt>
                <c:pt idx="12" formatCode="#\ ##0\ _€">
                  <c:v>218511.92000000004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5EC-42C0-A68D-B9DBC512A8EE}"/>
            </c:ext>
          </c:extLst>
        </c:ser>
        <c:ser>
          <c:idx val="3"/>
          <c:order val="3"/>
          <c:tx>
            <c:strRef>
              <c:f>'ROLL+VL PVE TL+NI '!$AF$40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'ROLL+VL PVE TL+NI '!$AB$41:$AB$53</c:f>
              <c:strCache>
                <c:ptCount val="13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  <c:pt idx="12">
                  <c:v>TOTAL</c:v>
                </c:pt>
              </c:strCache>
            </c:strRef>
          </c:cat>
          <c:val>
            <c:numRef>
              <c:f>'ROLL+VL PVE TL+NI '!$AF$41:$AF$53</c:f>
              <c:numCache>
                <c:formatCode>#,##0</c:formatCode>
                <c:ptCount val="13"/>
                <c:pt idx="0">
                  <c:v>11780.6</c:v>
                </c:pt>
                <c:pt idx="1">
                  <c:v>15413</c:v>
                </c:pt>
                <c:pt idx="2">
                  <c:v>21525</c:v>
                </c:pt>
                <c:pt idx="3">
                  <c:v>15024.320000000002</c:v>
                </c:pt>
                <c:pt idx="4">
                  <c:v>21780.28</c:v>
                </c:pt>
                <c:pt idx="5">
                  <c:v>28207.239999999998</c:v>
                </c:pt>
                <c:pt idx="6">
                  <c:v>31031.440000000002</c:v>
                </c:pt>
                <c:pt idx="7">
                  <c:v>36597</c:v>
                </c:pt>
                <c:pt idx="8">
                  <c:v>23569.88</c:v>
                </c:pt>
                <c:pt idx="9">
                  <c:v>19062.68</c:v>
                </c:pt>
                <c:pt idx="12" formatCode="#\ ##0\ _€">
                  <c:v>223991.44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EC-42C0-A68D-B9DBC512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444064"/>
        <c:axId val="415444456"/>
      </c:barChart>
      <c:catAx>
        <c:axId val="41544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5444456"/>
        <c:crosses val="autoZero"/>
        <c:auto val="1"/>
        <c:lblAlgn val="ctr"/>
        <c:lblOffset val="100"/>
        <c:noMultiLvlLbl val="0"/>
      </c:catAx>
      <c:valAx>
        <c:axId val="4154444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544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BESOIN SERVICE PUBLIC PAX TOULON+NICE -PROPRIANO (2014-2017)</a:t>
            </a:r>
          </a:p>
        </c:rich>
      </c:tx>
      <c:layout>
        <c:manualLayout>
          <c:xMode val="edge"/>
          <c:yMode val="edge"/>
          <c:x val="0.17090251398281484"/>
          <c:y val="3.544509212402866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PRO TL'!$K$40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'PAX PRO TL'!$J$41:$J$52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PRO TL'!$K$41:$K$52</c:f>
              <c:numCache>
                <c:formatCode>#,##0</c:formatCode>
                <c:ptCount val="12"/>
                <c:pt idx="0">
                  <c:v>972</c:v>
                </c:pt>
                <c:pt idx="1">
                  <c:v>1711</c:v>
                </c:pt>
                <c:pt idx="2">
                  <c:v>2329</c:v>
                </c:pt>
                <c:pt idx="3">
                  <c:v>4072</c:v>
                </c:pt>
                <c:pt idx="4">
                  <c:v>6986</c:v>
                </c:pt>
                <c:pt idx="5">
                  <c:v>8150</c:v>
                </c:pt>
                <c:pt idx="6">
                  <c:v>11299</c:v>
                </c:pt>
                <c:pt idx="7">
                  <c:v>21762</c:v>
                </c:pt>
                <c:pt idx="8">
                  <c:v>7493</c:v>
                </c:pt>
                <c:pt idx="9">
                  <c:v>5439</c:v>
                </c:pt>
                <c:pt idx="10">
                  <c:v>2645</c:v>
                </c:pt>
                <c:pt idx="11">
                  <c:v>2841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C9-4369-8662-E88ADB8F7349}"/>
            </c:ext>
          </c:extLst>
        </c:ser>
        <c:ser>
          <c:idx val="1"/>
          <c:order val="1"/>
          <c:tx>
            <c:strRef>
              <c:f>'PAX PRO TL'!$L$40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'PAX PRO TL'!$J$41:$J$52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PRO TL'!$L$41:$L$52</c:f>
              <c:numCache>
                <c:formatCode>#,##0</c:formatCode>
                <c:ptCount val="12"/>
                <c:pt idx="0">
                  <c:v>2074</c:v>
                </c:pt>
                <c:pt idx="1">
                  <c:v>1877</c:v>
                </c:pt>
                <c:pt idx="2">
                  <c:v>2132</c:v>
                </c:pt>
                <c:pt idx="3">
                  <c:v>4990</c:v>
                </c:pt>
                <c:pt idx="4">
                  <c:v>7282</c:v>
                </c:pt>
                <c:pt idx="5">
                  <c:v>6830</c:v>
                </c:pt>
                <c:pt idx="6">
                  <c:v>14077</c:v>
                </c:pt>
                <c:pt idx="7">
                  <c:v>22671</c:v>
                </c:pt>
                <c:pt idx="8">
                  <c:v>6974</c:v>
                </c:pt>
                <c:pt idx="9">
                  <c:v>5344</c:v>
                </c:pt>
                <c:pt idx="10">
                  <c:v>1991</c:v>
                </c:pt>
                <c:pt idx="11">
                  <c:v>2848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C9-4369-8662-E88ADB8F7349}"/>
            </c:ext>
          </c:extLst>
        </c:ser>
        <c:ser>
          <c:idx val="2"/>
          <c:order val="2"/>
          <c:tx>
            <c:strRef>
              <c:f>'PAX PRO TL'!$M$40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'PAX PRO TL'!$J$41:$J$52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PRO TL'!$M$41:$M$52</c:f>
              <c:numCache>
                <c:formatCode>#,##0</c:formatCode>
                <c:ptCount val="12"/>
                <c:pt idx="0">
                  <c:v>1839</c:v>
                </c:pt>
                <c:pt idx="1">
                  <c:v>1761</c:v>
                </c:pt>
                <c:pt idx="2">
                  <c:v>2309</c:v>
                </c:pt>
                <c:pt idx="3">
                  <c:v>5154</c:v>
                </c:pt>
                <c:pt idx="4">
                  <c:v>5439</c:v>
                </c:pt>
                <c:pt idx="5">
                  <c:v>6327</c:v>
                </c:pt>
                <c:pt idx="6">
                  <c:v>13367</c:v>
                </c:pt>
                <c:pt idx="7">
                  <c:v>13325</c:v>
                </c:pt>
                <c:pt idx="8">
                  <c:v>6828</c:v>
                </c:pt>
                <c:pt idx="9">
                  <c:v>5199</c:v>
                </c:pt>
                <c:pt idx="10">
                  <c:v>2311</c:v>
                </c:pt>
                <c:pt idx="11">
                  <c:v>3087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C9-4369-8662-E88ADB8F7349}"/>
            </c:ext>
          </c:extLst>
        </c:ser>
        <c:ser>
          <c:idx val="3"/>
          <c:order val="3"/>
          <c:tx>
            <c:strRef>
              <c:f>'PAX PRO TL'!$N$40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'PAX PRO TL'!$J$41:$J$52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PRO TL'!$N$41:$N$52</c:f>
              <c:numCache>
                <c:formatCode>#,##0</c:formatCode>
                <c:ptCount val="12"/>
                <c:pt idx="0">
                  <c:v>1757</c:v>
                </c:pt>
                <c:pt idx="1">
                  <c:v>1694</c:v>
                </c:pt>
                <c:pt idx="2">
                  <c:v>1056</c:v>
                </c:pt>
                <c:pt idx="3">
                  <c:v>4672</c:v>
                </c:pt>
                <c:pt idx="4">
                  <c:v>5110</c:v>
                </c:pt>
                <c:pt idx="5">
                  <c:v>6574</c:v>
                </c:pt>
                <c:pt idx="6">
                  <c:v>12371</c:v>
                </c:pt>
                <c:pt idx="7">
                  <c:v>14435</c:v>
                </c:pt>
                <c:pt idx="8">
                  <c:v>7332</c:v>
                </c:pt>
                <c:pt idx="9">
                  <c:v>5293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C9-4369-8662-E88ADB8F7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558952"/>
        <c:axId val="417559344"/>
      </c:barChart>
      <c:catAx>
        <c:axId val="417558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7559344"/>
        <c:crosses val="autoZero"/>
        <c:auto val="1"/>
        <c:lblAlgn val="ctr"/>
        <c:lblOffset val="100"/>
        <c:noMultiLvlLbl val="0"/>
      </c:catAx>
      <c:valAx>
        <c:axId val="417559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7558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BESOIN SERVICE PUBLIC ROLL TOULON +NICE -PROPRIANO (2014-2017)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 PRO TL+NI'!$AD$73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'ROLL PRO TL+NI'!$AC$74:$AC$85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 PRO TL+NI'!$AD$74:$AD$85</c:f>
              <c:numCache>
                <c:formatCode>#,##0</c:formatCode>
                <c:ptCount val="12"/>
                <c:pt idx="0">
                  <c:v>5573</c:v>
                </c:pt>
                <c:pt idx="1">
                  <c:v>6969</c:v>
                </c:pt>
                <c:pt idx="2">
                  <c:v>8657</c:v>
                </c:pt>
                <c:pt idx="3">
                  <c:v>9003</c:v>
                </c:pt>
                <c:pt idx="4">
                  <c:v>10057</c:v>
                </c:pt>
                <c:pt idx="5">
                  <c:v>12429</c:v>
                </c:pt>
                <c:pt idx="6">
                  <c:v>10650</c:v>
                </c:pt>
                <c:pt idx="7">
                  <c:v>13211</c:v>
                </c:pt>
                <c:pt idx="8">
                  <c:v>9450</c:v>
                </c:pt>
                <c:pt idx="9">
                  <c:v>9177</c:v>
                </c:pt>
                <c:pt idx="10">
                  <c:v>6302</c:v>
                </c:pt>
                <c:pt idx="11">
                  <c:v>5379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A9-49F3-AF04-C73D430F58AF}"/>
            </c:ext>
          </c:extLst>
        </c:ser>
        <c:ser>
          <c:idx val="1"/>
          <c:order val="1"/>
          <c:tx>
            <c:strRef>
              <c:f>'ROLL PRO TL+NI'!$AE$73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'ROLL PRO TL+NI'!$AC$74:$AC$85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 PRO TL+NI'!$AE$74:$AE$85</c:f>
              <c:numCache>
                <c:formatCode>#,##0</c:formatCode>
                <c:ptCount val="12"/>
                <c:pt idx="0">
                  <c:v>5632</c:v>
                </c:pt>
                <c:pt idx="1">
                  <c:v>5919</c:v>
                </c:pt>
                <c:pt idx="2">
                  <c:v>8287</c:v>
                </c:pt>
                <c:pt idx="3">
                  <c:v>8394</c:v>
                </c:pt>
                <c:pt idx="4">
                  <c:v>9106</c:v>
                </c:pt>
                <c:pt idx="5">
                  <c:v>10027</c:v>
                </c:pt>
                <c:pt idx="6">
                  <c:v>13055</c:v>
                </c:pt>
                <c:pt idx="7">
                  <c:v>13530</c:v>
                </c:pt>
                <c:pt idx="8">
                  <c:v>9428</c:v>
                </c:pt>
                <c:pt idx="9">
                  <c:v>8422</c:v>
                </c:pt>
                <c:pt idx="10">
                  <c:v>7541</c:v>
                </c:pt>
                <c:pt idx="11">
                  <c:v>5174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A9-49F3-AF04-C73D430F58AF}"/>
            </c:ext>
          </c:extLst>
        </c:ser>
        <c:ser>
          <c:idx val="2"/>
          <c:order val="2"/>
          <c:tx>
            <c:strRef>
              <c:f>'ROLL PRO TL+NI'!$AF$73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'ROLL PRO TL+NI'!$AC$74:$AC$85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 PRO TL+NI'!$AF$74:$AF$85</c:f>
              <c:numCache>
                <c:formatCode>#,##0</c:formatCode>
                <c:ptCount val="12"/>
                <c:pt idx="0">
                  <c:v>4671</c:v>
                </c:pt>
                <c:pt idx="1">
                  <c:v>5099</c:v>
                </c:pt>
                <c:pt idx="2">
                  <c:v>6890</c:v>
                </c:pt>
                <c:pt idx="3">
                  <c:v>8376</c:v>
                </c:pt>
                <c:pt idx="4">
                  <c:v>8752</c:v>
                </c:pt>
                <c:pt idx="5">
                  <c:v>23412</c:v>
                </c:pt>
                <c:pt idx="6">
                  <c:v>28843</c:v>
                </c:pt>
                <c:pt idx="7">
                  <c:v>28587</c:v>
                </c:pt>
                <c:pt idx="8">
                  <c:v>22946</c:v>
                </c:pt>
                <c:pt idx="9">
                  <c:v>9279</c:v>
                </c:pt>
                <c:pt idx="10">
                  <c:v>17157</c:v>
                </c:pt>
                <c:pt idx="11">
                  <c:v>17581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6A9-49F3-AF04-C73D430F58AF}"/>
            </c:ext>
          </c:extLst>
        </c:ser>
        <c:ser>
          <c:idx val="3"/>
          <c:order val="3"/>
          <c:tx>
            <c:strRef>
              <c:f>'ROLL PRO TL+NI'!$AG$73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'ROLL PRO TL+NI'!$AC$74:$AC$85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 PRO TL+NI'!$AG$74:$AG$85</c:f>
              <c:numCache>
                <c:formatCode>#,##0</c:formatCode>
                <c:ptCount val="12"/>
                <c:pt idx="0">
                  <c:v>6147</c:v>
                </c:pt>
                <c:pt idx="1">
                  <c:v>6072</c:v>
                </c:pt>
                <c:pt idx="2">
                  <c:v>4835</c:v>
                </c:pt>
                <c:pt idx="3">
                  <c:v>7425</c:v>
                </c:pt>
                <c:pt idx="4">
                  <c:v>8494</c:v>
                </c:pt>
                <c:pt idx="5">
                  <c:v>10245</c:v>
                </c:pt>
                <c:pt idx="6">
                  <c:v>13228</c:v>
                </c:pt>
                <c:pt idx="7">
                  <c:v>11699</c:v>
                </c:pt>
                <c:pt idx="8">
                  <c:v>9035</c:v>
                </c:pt>
                <c:pt idx="9">
                  <c:v>7641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A9-49F3-AF04-C73D430F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560128"/>
        <c:axId val="417560520"/>
      </c:barChart>
      <c:catAx>
        <c:axId val="41756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7560520"/>
        <c:crosses val="autoZero"/>
        <c:auto val="1"/>
        <c:lblAlgn val="ctr"/>
        <c:lblOffset val="100"/>
        <c:noMultiLvlLbl val="0"/>
      </c:catAx>
      <c:valAx>
        <c:axId val="417560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7560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SOLDE OFFRE CAPACITAIRE (TOULON+NICE) - REALISE (TOULON + MARSEILLE+NICE)</a:t>
            </a:r>
          </a:p>
        </c:rich>
      </c:tx>
      <c:layout>
        <c:manualLayout>
          <c:xMode val="edge"/>
          <c:yMode val="edge"/>
          <c:x val="0.14884297440930236"/>
          <c:y val="4.9926567977610359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AJA TL+NI'!$J$22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TL+NI'!$K$22:$N$22</c:f>
              <c:numCache>
                <c:formatCode>#,##0</c:formatCode>
                <c:ptCount val="4"/>
                <c:pt idx="0">
                  <c:v>146535</c:v>
                </c:pt>
                <c:pt idx="1">
                  <c:v>112453</c:v>
                </c:pt>
                <c:pt idx="2">
                  <c:v>129895</c:v>
                </c:pt>
                <c:pt idx="3">
                  <c:v>125374.66666666666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7-4CFB-B39C-D0C1BACE74AB}"/>
            </c:ext>
          </c:extLst>
        </c:ser>
        <c:ser>
          <c:idx val="1"/>
          <c:order val="1"/>
          <c:tx>
            <c:strRef>
              <c:f>'PAX AJA TL+NI'!$J$23</c:f>
              <c:strCache>
                <c:ptCount val="1"/>
                <c:pt idx="0">
                  <c:v>fév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TL+NI'!$K$23:$N$23</c:f>
              <c:numCache>
                <c:formatCode>#,##0</c:formatCode>
                <c:ptCount val="4"/>
                <c:pt idx="0">
                  <c:v>111362</c:v>
                </c:pt>
                <c:pt idx="1">
                  <c:v>95796</c:v>
                </c:pt>
                <c:pt idx="2">
                  <c:v>110076</c:v>
                </c:pt>
                <c:pt idx="3">
                  <c:v>105702.33333333333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77-4CFB-B39C-D0C1BACE74AB}"/>
            </c:ext>
          </c:extLst>
        </c:ser>
        <c:ser>
          <c:idx val="2"/>
          <c:order val="2"/>
          <c:tx>
            <c:strRef>
              <c:f>'PAX AJA TL+NI'!$J$24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TL+NI'!$K$24:$N$24</c:f>
              <c:numCache>
                <c:formatCode>#,##0</c:formatCode>
                <c:ptCount val="4"/>
                <c:pt idx="0">
                  <c:v>120835</c:v>
                </c:pt>
                <c:pt idx="1">
                  <c:v>100120</c:v>
                </c:pt>
                <c:pt idx="2">
                  <c:v>119287</c:v>
                </c:pt>
                <c:pt idx="3">
                  <c:v>116905.66666666666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777-4CFB-B39C-D0C1BACE74AB}"/>
            </c:ext>
          </c:extLst>
        </c:ser>
        <c:ser>
          <c:idx val="3"/>
          <c:order val="3"/>
          <c:tx>
            <c:strRef>
              <c:f>'PAX AJA TL+NI'!$J$25</c:f>
              <c:strCache>
                <c:ptCount val="1"/>
                <c:pt idx="0">
                  <c:v>avr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TL+NI'!$K$25:$N$25</c:f>
              <c:numCache>
                <c:formatCode>#,##0</c:formatCode>
                <c:ptCount val="4"/>
                <c:pt idx="0">
                  <c:v>123991</c:v>
                </c:pt>
                <c:pt idx="1">
                  <c:v>113155</c:v>
                </c:pt>
                <c:pt idx="2">
                  <c:v>151345</c:v>
                </c:pt>
                <c:pt idx="3">
                  <c:v>116648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777-4CFB-B39C-D0C1BACE74AB}"/>
            </c:ext>
          </c:extLst>
        </c:ser>
        <c:ser>
          <c:idx val="4"/>
          <c:order val="4"/>
          <c:tx>
            <c:strRef>
              <c:f>'PAX AJA TL+NI'!$J$26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TL+NI'!$K$26:$N$26</c:f>
              <c:numCache>
                <c:formatCode>#,##0</c:formatCode>
                <c:ptCount val="4"/>
                <c:pt idx="0">
                  <c:v>142481</c:v>
                </c:pt>
                <c:pt idx="1">
                  <c:v>132144</c:v>
                </c:pt>
                <c:pt idx="2">
                  <c:v>118990</c:v>
                </c:pt>
                <c:pt idx="3">
                  <c:v>135211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777-4CFB-B39C-D0C1BACE74AB}"/>
            </c:ext>
          </c:extLst>
        </c:ser>
        <c:ser>
          <c:idx val="5"/>
          <c:order val="5"/>
          <c:tx>
            <c:strRef>
              <c:f>'PAX AJA TL+NI'!$J$27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TL+NI'!$K$27:$N$27</c:f>
              <c:numCache>
                <c:formatCode>#,##0</c:formatCode>
                <c:ptCount val="4"/>
                <c:pt idx="0">
                  <c:v>157320</c:v>
                </c:pt>
                <c:pt idx="1">
                  <c:v>174950</c:v>
                </c:pt>
                <c:pt idx="2">
                  <c:v>157440</c:v>
                </c:pt>
                <c:pt idx="3">
                  <c:v>141954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777-4CFB-B39C-D0C1BACE74AB}"/>
            </c:ext>
          </c:extLst>
        </c:ser>
        <c:ser>
          <c:idx val="6"/>
          <c:order val="6"/>
          <c:tx>
            <c:strRef>
              <c:f>'PAX AJA TL+NI'!$J$28</c:f>
              <c:strCache>
                <c:ptCount val="1"/>
                <c:pt idx="0">
                  <c:v>juil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TL+NI'!$K$28:$N$28</c:f>
              <c:numCache>
                <c:formatCode>#,##0</c:formatCode>
                <c:ptCount val="4"/>
                <c:pt idx="0">
                  <c:v>133459</c:v>
                </c:pt>
                <c:pt idx="1">
                  <c:v>100843</c:v>
                </c:pt>
                <c:pt idx="2">
                  <c:v>123256</c:v>
                </c:pt>
                <c:pt idx="3">
                  <c:v>124088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777-4CFB-B39C-D0C1BACE74AB}"/>
            </c:ext>
          </c:extLst>
        </c:ser>
        <c:ser>
          <c:idx val="7"/>
          <c:order val="7"/>
          <c:tx>
            <c:strRef>
              <c:f>'PAX AJA TL+NI'!$J$29</c:f>
              <c:strCache>
                <c:ptCount val="1"/>
                <c:pt idx="0">
                  <c:v>aou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TL+NI'!$K$29:$N$29</c:f>
              <c:numCache>
                <c:formatCode>#,##0</c:formatCode>
                <c:ptCount val="4"/>
                <c:pt idx="0">
                  <c:v>72551</c:v>
                </c:pt>
                <c:pt idx="1">
                  <c:v>56899</c:v>
                </c:pt>
                <c:pt idx="2">
                  <c:v>80105</c:v>
                </c:pt>
                <c:pt idx="3">
                  <c:v>89361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777-4CFB-B39C-D0C1BACE74AB}"/>
            </c:ext>
          </c:extLst>
        </c:ser>
        <c:ser>
          <c:idx val="8"/>
          <c:order val="8"/>
          <c:tx>
            <c:strRef>
              <c:f>'PAX AJA TL+NI'!$J$30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TL+NI'!$K$30:$N$30</c:f>
              <c:numCache>
                <c:formatCode>#,##0</c:formatCode>
                <c:ptCount val="4"/>
                <c:pt idx="0">
                  <c:v>129772</c:v>
                </c:pt>
                <c:pt idx="1">
                  <c:v>139453</c:v>
                </c:pt>
                <c:pt idx="2">
                  <c:v>142179</c:v>
                </c:pt>
                <c:pt idx="3">
                  <c:v>124893.66666666666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777-4CFB-B39C-D0C1BACE74AB}"/>
            </c:ext>
          </c:extLst>
        </c:ser>
        <c:ser>
          <c:idx val="9"/>
          <c:order val="9"/>
          <c:tx>
            <c:strRef>
              <c:f>'PAX AJA TL+NI'!$J$31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TL+NI'!$K$31:$N$31</c:f>
              <c:numCache>
                <c:formatCode>#,##0</c:formatCode>
                <c:ptCount val="4"/>
                <c:pt idx="0">
                  <c:v>98008</c:v>
                </c:pt>
                <c:pt idx="1">
                  <c:v>95945</c:v>
                </c:pt>
                <c:pt idx="2">
                  <c:v>117250</c:v>
                </c:pt>
                <c:pt idx="3">
                  <c:v>112079.66666666666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777-4CFB-B39C-D0C1BACE74AB}"/>
            </c:ext>
          </c:extLst>
        </c:ser>
        <c:ser>
          <c:idx val="10"/>
          <c:order val="10"/>
          <c:tx>
            <c:strRef>
              <c:f>'PAX AJA TL+NI'!$J$32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TL+NI'!$K$32:$N$32</c:f>
              <c:numCache>
                <c:formatCode>#,##0</c:formatCode>
                <c:ptCount val="4"/>
                <c:pt idx="0">
                  <c:v>105093</c:v>
                </c:pt>
                <c:pt idx="1">
                  <c:v>111098</c:v>
                </c:pt>
                <c:pt idx="2">
                  <c:v>116789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777-4CFB-B39C-D0C1BACE74AB}"/>
            </c:ext>
          </c:extLst>
        </c:ser>
        <c:ser>
          <c:idx val="11"/>
          <c:order val="11"/>
          <c:tx>
            <c:strRef>
              <c:f>'PAX AJA TL+NI'!$J$33</c:f>
              <c:strCache>
                <c:ptCount val="1"/>
                <c:pt idx="0">
                  <c:v>déc</c:v>
                </c:pt>
              </c:strCache>
            </c:strRef>
          </c:tx>
          <c:invertIfNegative val="0"/>
          <c:cat>
            <c:numRef>
              <c:f>'PAX AJA TL+NI'!$K$21:$N$21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'PAX AJA TL+NI'!$K$33:$N$33</c:f>
              <c:numCache>
                <c:formatCode>#,##0</c:formatCode>
                <c:ptCount val="4"/>
                <c:pt idx="0">
                  <c:v>97444</c:v>
                </c:pt>
                <c:pt idx="1">
                  <c:v>125415</c:v>
                </c:pt>
                <c:pt idx="2">
                  <c:v>110971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777-4CFB-B39C-D0C1BACE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762936"/>
        <c:axId val="491764112"/>
      </c:barChart>
      <c:catAx>
        <c:axId val="49176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1764112"/>
        <c:crosses val="autoZero"/>
        <c:auto val="1"/>
        <c:lblAlgn val="ctr"/>
        <c:lblOffset val="100"/>
        <c:noMultiLvlLbl val="0"/>
      </c:catAx>
      <c:valAx>
        <c:axId val="491764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762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BESOIN SERVICE PUBLIC PAX TOULON+NICE - AJACCIO (2014-2017)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'PAX AJA TL+NI'!$K$40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'PAX AJA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AJA TL+NI'!$K$41:$K$52</c:f>
              <c:numCache>
                <c:formatCode>#,##0</c:formatCode>
                <c:ptCount val="12"/>
                <c:pt idx="0">
                  <c:v>-146535</c:v>
                </c:pt>
                <c:pt idx="1">
                  <c:v>-111362</c:v>
                </c:pt>
                <c:pt idx="2">
                  <c:v>-120835</c:v>
                </c:pt>
                <c:pt idx="3">
                  <c:v>-123991</c:v>
                </c:pt>
                <c:pt idx="4">
                  <c:v>-142481</c:v>
                </c:pt>
                <c:pt idx="5">
                  <c:v>-157320</c:v>
                </c:pt>
                <c:pt idx="6">
                  <c:v>-133459</c:v>
                </c:pt>
                <c:pt idx="7">
                  <c:v>-72551</c:v>
                </c:pt>
                <c:pt idx="8">
                  <c:v>-129772</c:v>
                </c:pt>
                <c:pt idx="9">
                  <c:v>-98008</c:v>
                </c:pt>
                <c:pt idx="10">
                  <c:v>-105093</c:v>
                </c:pt>
                <c:pt idx="11">
                  <c:v>-97444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12-413E-9302-2A849985C3B6}"/>
            </c:ext>
          </c:extLst>
        </c:ser>
        <c:ser>
          <c:idx val="1"/>
          <c:order val="1"/>
          <c:tx>
            <c:strRef>
              <c:f>'PAX AJA TL+NI'!$L$40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'PAX AJA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AJA TL+NI'!$L$41:$L$52</c:f>
              <c:numCache>
                <c:formatCode>#,##0</c:formatCode>
                <c:ptCount val="12"/>
                <c:pt idx="0">
                  <c:v>-112453</c:v>
                </c:pt>
                <c:pt idx="1">
                  <c:v>-95796</c:v>
                </c:pt>
                <c:pt idx="2">
                  <c:v>-100120</c:v>
                </c:pt>
                <c:pt idx="3">
                  <c:v>-113155</c:v>
                </c:pt>
                <c:pt idx="4">
                  <c:v>-132144</c:v>
                </c:pt>
                <c:pt idx="5">
                  <c:v>-174950</c:v>
                </c:pt>
                <c:pt idx="6">
                  <c:v>-100843</c:v>
                </c:pt>
                <c:pt idx="7">
                  <c:v>-56899</c:v>
                </c:pt>
                <c:pt idx="8">
                  <c:v>-139453</c:v>
                </c:pt>
                <c:pt idx="9">
                  <c:v>-95945</c:v>
                </c:pt>
                <c:pt idx="10">
                  <c:v>-111098</c:v>
                </c:pt>
                <c:pt idx="11">
                  <c:v>-125415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12-413E-9302-2A849985C3B6}"/>
            </c:ext>
          </c:extLst>
        </c:ser>
        <c:ser>
          <c:idx val="2"/>
          <c:order val="2"/>
          <c:tx>
            <c:strRef>
              <c:f>'PAX AJA TL+NI'!$M$40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'PAX AJA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AJA TL+NI'!$M$41:$M$52</c:f>
              <c:numCache>
                <c:formatCode>#,##0</c:formatCode>
                <c:ptCount val="12"/>
                <c:pt idx="0">
                  <c:v>-129895</c:v>
                </c:pt>
                <c:pt idx="1">
                  <c:v>-110076</c:v>
                </c:pt>
                <c:pt idx="2">
                  <c:v>-119287</c:v>
                </c:pt>
                <c:pt idx="3">
                  <c:v>-151345</c:v>
                </c:pt>
                <c:pt idx="4">
                  <c:v>-118990</c:v>
                </c:pt>
                <c:pt idx="5">
                  <c:v>-157440</c:v>
                </c:pt>
                <c:pt idx="6">
                  <c:v>-123256</c:v>
                </c:pt>
                <c:pt idx="7">
                  <c:v>-80105</c:v>
                </c:pt>
                <c:pt idx="8">
                  <c:v>-142179</c:v>
                </c:pt>
                <c:pt idx="9">
                  <c:v>-117250</c:v>
                </c:pt>
                <c:pt idx="10">
                  <c:v>-116789</c:v>
                </c:pt>
                <c:pt idx="11">
                  <c:v>-110971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12-413E-9302-2A849985C3B6}"/>
            </c:ext>
          </c:extLst>
        </c:ser>
        <c:ser>
          <c:idx val="3"/>
          <c:order val="3"/>
          <c:tx>
            <c:strRef>
              <c:f>'PAX AJA TL+NI'!$N$40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'PAX AJA TL+NI'!$J$41:$J$52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'PAX AJA TL+NI'!$N$41:$N$52</c:f>
              <c:numCache>
                <c:formatCode>#,##0</c:formatCode>
                <c:ptCount val="12"/>
                <c:pt idx="0">
                  <c:v>-125374.66666666666</c:v>
                </c:pt>
                <c:pt idx="1">
                  <c:v>-105702.33333333333</c:v>
                </c:pt>
                <c:pt idx="2">
                  <c:v>-116905.66666666666</c:v>
                </c:pt>
                <c:pt idx="3">
                  <c:v>-116648</c:v>
                </c:pt>
                <c:pt idx="4">
                  <c:v>-135211</c:v>
                </c:pt>
                <c:pt idx="5">
                  <c:v>-141954</c:v>
                </c:pt>
                <c:pt idx="6">
                  <c:v>-124088</c:v>
                </c:pt>
                <c:pt idx="7">
                  <c:v>-89361</c:v>
                </c:pt>
                <c:pt idx="8">
                  <c:v>-124893.66666666666</c:v>
                </c:pt>
                <c:pt idx="9">
                  <c:v>-112079.66666666666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112-413E-9302-2A84998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34608"/>
        <c:axId val="175435392"/>
      </c:barChart>
      <c:catAx>
        <c:axId val="17543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435392"/>
        <c:crosses val="autoZero"/>
        <c:auto val="1"/>
        <c:lblAlgn val="ctr"/>
        <c:lblOffset val="100"/>
        <c:noMultiLvlLbl val="0"/>
      </c:catAx>
      <c:valAx>
        <c:axId val="175435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43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Capacité ROLL moyenne </a:t>
            </a:r>
            <a:r>
              <a:rPr lang="en-US" sz="1400"/>
              <a:t>Ajaccio / Toulon</a:t>
            </a:r>
          </a:p>
          <a:p>
            <a:pPr>
              <a:defRPr sz="1400"/>
            </a:pPr>
            <a:r>
              <a:rPr lang="en-US" sz="1400"/>
              <a:t> 2014-2017</a:t>
            </a:r>
          </a:p>
          <a:p>
            <a:pPr>
              <a:defRPr sz="1400"/>
            </a:pPr>
            <a:endParaRPr lang="en-US" sz="1400"/>
          </a:p>
        </c:rich>
      </c:tx>
      <c:layout>
        <c:manualLayout>
          <c:xMode val="edge"/>
          <c:yMode val="edge"/>
          <c:x val="0.14228289398607782"/>
          <c:y val="1.67450170989464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53200958575833"/>
          <c:y val="0.13388528217703724"/>
          <c:w val="0.85672885997945913"/>
          <c:h val="0.776068007394366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075-4E72-987B-866E94D9EC7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075-4E72-987B-866E94D9EC7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075-4E72-987B-866E94D9EC7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075-4E72-987B-866E94D9EC7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075-4E72-987B-866E94D9EC7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075-4E72-987B-866E94D9EC7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075-4E72-987B-866E94D9EC7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075-4E72-987B-866E94D9EC7A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'ROLL+VL AJA TL+NI '!$G$3:$G$14</c:f>
                <c:numCache>
                  <c:formatCode>General</c:formatCode>
                  <c:ptCount val="12"/>
                  <c:pt idx="0">
                    <c:v>1161.7411071318784</c:v>
                  </c:pt>
                  <c:pt idx="1">
                    <c:v>1987.4482936670311</c:v>
                  </c:pt>
                  <c:pt idx="2">
                    <c:v>2040.1930202801893</c:v>
                  </c:pt>
                  <c:pt idx="3">
                    <c:v>2192.1943709443285</c:v>
                  </c:pt>
                  <c:pt idx="4">
                    <c:v>4424.2881542684545</c:v>
                  </c:pt>
                  <c:pt idx="5">
                    <c:v>2378.890737465676</c:v>
                  </c:pt>
                  <c:pt idx="6">
                    <c:v>2097.5843706511555</c:v>
                  </c:pt>
                  <c:pt idx="7">
                    <c:v>3796.4029697596684</c:v>
                  </c:pt>
                  <c:pt idx="8">
                    <c:v>257.73112501209516</c:v>
                  </c:pt>
                  <c:pt idx="9">
                    <c:v>3480.8217956875205</c:v>
                  </c:pt>
                  <c:pt idx="10">
                    <c:v>1399.166094500579</c:v>
                  </c:pt>
                  <c:pt idx="11">
                    <c:v>2978.3090325440253</c:v>
                  </c:pt>
                </c:numCache>
              </c:numRef>
            </c:plus>
            <c:minus>
              <c:numRef>
                <c:f>'ROLL+VL AJA TL+NI '!$H$3:$H$14</c:f>
                <c:numCache>
                  <c:formatCode>General</c:formatCode>
                  <c:ptCount val="12"/>
                  <c:pt idx="0">
                    <c:v>1161.7411071318784</c:v>
                  </c:pt>
                  <c:pt idx="1">
                    <c:v>1987.4482936670311</c:v>
                  </c:pt>
                  <c:pt idx="2">
                    <c:v>2040.1930202801893</c:v>
                  </c:pt>
                  <c:pt idx="3">
                    <c:v>2192.1943709443285</c:v>
                  </c:pt>
                  <c:pt idx="4">
                    <c:v>4424.2881542684545</c:v>
                  </c:pt>
                  <c:pt idx="5">
                    <c:v>2378.890737465676</c:v>
                  </c:pt>
                  <c:pt idx="6">
                    <c:v>2097.5843706511555</c:v>
                  </c:pt>
                  <c:pt idx="7">
                    <c:v>3796.4029697596684</c:v>
                  </c:pt>
                  <c:pt idx="8">
                    <c:v>257.73112501209516</c:v>
                  </c:pt>
                  <c:pt idx="9">
                    <c:v>3480.8217956875205</c:v>
                  </c:pt>
                  <c:pt idx="10">
                    <c:v>1399.166094500579</c:v>
                  </c:pt>
                  <c:pt idx="11">
                    <c:v>2978.3090325440253</c:v>
                  </c:pt>
                </c:numCache>
              </c:numRef>
            </c:minus>
          </c:errBars>
          <c:cat>
            <c:strRef>
              <c:f>'ROLL+VL AJA TL+NI '!$A$3:$A$14</c:f>
              <c:strCache>
                <c:ptCount val="12"/>
                <c:pt idx="0">
                  <c:v>jan</c:v>
                </c:pt>
                <c:pt idx="1">
                  <c:v>fév</c:v>
                </c:pt>
                <c:pt idx="2">
                  <c:v>mar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'ROLL+VL AJA TL+NI '!$F$3:$F$14</c:f>
              <c:numCache>
                <c:formatCode>#\ ##0\ _€</c:formatCode>
                <c:ptCount val="12"/>
                <c:pt idx="0">
                  <c:v>24633.399999999998</c:v>
                </c:pt>
                <c:pt idx="1">
                  <c:v>21264</c:v>
                </c:pt>
                <c:pt idx="2">
                  <c:v>23115.100000000002</c:v>
                </c:pt>
                <c:pt idx="3">
                  <c:v>35560.800000000003</c:v>
                </c:pt>
                <c:pt idx="4">
                  <c:v>22988.1</c:v>
                </c:pt>
                <c:pt idx="5">
                  <c:v>24406.139999999996</c:v>
                </c:pt>
                <c:pt idx="6">
                  <c:v>27352.68</c:v>
                </c:pt>
                <c:pt idx="7">
                  <c:v>28702.379999999997</c:v>
                </c:pt>
                <c:pt idx="8">
                  <c:v>23790.66</c:v>
                </c:pt>
                <c:pt idx="9">
                  <c:v>28139.8</c:v>
                </c:pt>
                <c:pt idx="10">
                  <c:v>20435.199999999997</c:v>
                </c:pt>
                <c:pt idx="11">
                  <c:v>24543.866666666669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0075-4E72-987B-866E94D9EC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3298576"/>
        <c:axId val="493297008"/>
      </c:barChart>
      <c:catAx>
        <c:axId val="49329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493297008"/>
        <c:crosses val="autoZero"/>
        <c:auto val="1"/>
        <c:lblAlgn val="ctr"/>
        <c:lblOffset val="100"/>
        <c:noMultiLvlLbl val="0"/>
      </c:catAx>
      <c:valAx>
        <c:axId val="49329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fr-FR"/>
          </a:p>
        </c:txPr>
        <c:crossAx val="49329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ROLL </a:t>
            </a:r>
            <a:r>
              <a:rPr lang="en-US" sz="1400"/>
              <a:t>Ajaccio / Toulon : </a:t>
            </a:r>
            <a:r>
              <a:rPr lang="en-US" sz="1400" b="1" i="0" u="none" strike="noStrike" baseline="0">
                <a:effectLst/>
              </a:rPr>
              <a:t>Capacité / saison</a:t>
            </a:r>
            <a:endParaRPr lang="en-US" sz="1400"/>
          </a:p>
        </c:rich>
      </c:tx>
      <c:layout>
        <c:manualLayout>
          <c:xMode val="edge"/>
          <c:yMode val="edge"/>
          <c:x val="0.214666666666666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10798629337999417"/>
          <c:w val="0.86676324968952845"/>
          <c:h val="0.77603382910469521"/>
        </c:manualLayout>
      </c:layout>
      <c:lineChart>
        <c:grouping val="standard"/>
        <c:varyColors val="0"/>
        <c:ser>
          <c:idx val="1"/>
          <c:order val="0"/>
          <c:tx>
            <c:strRef>
              <c:f>'ROLL+VL AJA TL+NI '!$A$18</c:f>
              <c:strCache>
                <c:ptCount val="1"/>
                <c:pt idx="0">
                  <c:v>Haute saison</c:v>
                </c:pt>
              </c:strCache>
            </c:strRef>
          </c:tx>
          <c:marker>
            <c:symbol val="none"/>
          </c:marker>
          <c:cat>
            <c:numRef>
              <c:f>'ROLL+VL AJA TL+NI 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'!$B$18:$E$18</c:f>
              <c:numCache>
                <c:formatCode>#\ ##0\ _€</c:formatCode>
                <c:ptCount val="4"/>
                <c:pt idx="0">
                  <c:v>27112.986666666664</c:v>
                </c:pt>
                <c:pt idx="1">
                  <c:v>27104.026666666668</c:v>
                </c:pt>
                <c:pt idx="2">
                  <c:v>26470.866666666665</c:v>
                </c:pt>
                <c:pt idx="3">
                  <c:v>27845.959999999995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058-4E84-A965-E26C547C2ACA}"/>
            </c:ext>
          </c:extLst>
        </c:ser>
        <c:ser>
          <c:idx val="0"/>
          <c:order val="1"/>
          <c:tx>
            <c:strRef>
              <c:f>'ROLL+VL AJA TL+NI '!$A$17</c:f>
              <c:strCache>
                <c:ptCount val="1"/>
                <c:pt idx="0">
                  <c:v>Basse saison</c:v>
                </c:pt>
              </c:strCache>
            </c:strRef>
          </c:tx>
          <c:marker>
            <c:symbol val="none"/>
          </c:marker>
          <c:cat>
            <c:numRef>
              <c:f>'ROLL+VL AJA TL+NI '!$B$2:$E$2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'!$B$17:$E$17</c:f>
              <c:numCache>
                <c:formatCode>#\ ##0\ _€</c:formatCode>
                <c:ptCount val="4"/>
                <c:pt idx="0">
                  <c:v>22467.8</c:v>
                </c:pt>
                <c:pt idx="1">
                  <c:v>22820.600000000002</c:v>
                </c:pt>
                <c:pt idx="2">
                  <c:v>25338</c:v>
                </c:pt>
                <c:pt idx="3">
                  <c:v>24947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058-4E84-A965-E26C547C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35784"/>
        <c:axId val="175435000"/>
      </c:lineChart>
      <c:catAx>
        <c:axId val="17543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435000"/>
        <c:crosses val="autoZero"/>
        <c:auto val="1"/>
        <c:lblAlgn val="ctr"/>
        <c:lblOffset val="100"/>
        <c:noMultiLvlLbl val="0"/>
      </c:catAx>
      <c:valAx>
        <c:axId val="175435000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75435784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7516800645531756"/>
          <c:y val="0.73874121439518037"/>
          <c:w val="0.24554221347331584"/>
          <c:h val="0.14891586468358123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ROLL </a:t>
            </a:r>
            <a:r>
              <a:rPr lang="en-US" sz="1400"/>
              <a:t>Ajaccio / Toulon : </a:t>
            </a:r>
            <a:r>
              <a:rPr lang="en-US" sz="1400" b="1" i="0" u="none" strike="noStrike" baseline="0">
                <a:effectLst/>
              </a:rPr>
              <a:t>Capacité  / Réalisée</a:t>
            </a:r>
            <a:endParaRPr lang="en-US" sz="1400"/>
          </a:p>
        </c:rich>
      </c:tx>
      <c:layout>
        <c:manualLayout>
          <c:xMode val="edge"/>
          <c:yMode val="edge"/>
          <c:x val="0.27051302111866521"/>
          <c:y val="1.78970917225950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23675031047161"/>
          <c:y val="0.21536895136430093"/>
          <c:w val="0.86676324968952845"/>
          <c:h val="0.66865120047913484"/>
        </c:manualLayout>
      </c:layout>
      <c:lineChart>
        <c:grouping val="standard"/>
        <c:varyColors val="0"/>
        <c:ser>
          <c:idx val="1"/>
          <c:order val="0"/>
          <c:tx>
            <c:strRef>
              <c:f>'ROLL+VL AJA TL+NI '!$A$1</c:f>
              <c:strCache>
                <c:ptCount val="1"/>
                <c:pt idx="0">
                  <c:v>CAPACITE ROLL  AJACCIO TOULON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'ROLL+VL AJA TL+NI 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'!$B$15:$E$15</c:f>
              <c:numCache>
                <c:formatCode>#\ ##0\ _€</c:formatCode>
                <c:ptCount val="4"/>
                <c:pt idx="0">
                  <c:v>297484.71999999991</c:v>
                </c:pt>
                <c:pt idx="1">
                  <c:v>299547.75999999995</c:v>
                </c:pt>
                <c:pt idx="2">
                  <c:v>310853.2</c:v>
                </c:pt>
                <c:pt idx="3">
                  <c:v>266863.76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B29-4C85-AA26-4A4533A256FC}"/>
            </c:ext>
          </c:extLst>
        </c:ser>
        <c:ser>
          <c:idx val="0"/>
          <c:order val="1"/>
          <c:tx>
            <c:strRef>
              <c:f>'ROLL+VL AJA TL+NI '!$A$20</c:f>
              <c:strCache>
                <c:ptCount val="1"/>
                <c:pt idx="0">
                  <c:v>ROLL REALISE AJACCIO TOULON</c:v>
                </c:pt>
              </c:strCache>
            </c:strRef>
          </c:tx>
          <c:marker>
            <c:symbol val="none"/>
          </c:marker>
          <c:cat>
            <c:numRef>
              <c:f>'ROLL+VL AJA TL+NI '!$B$21:$E$21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'ROLL+VL AJA TL+NI '!$B$34:$E$34</c:f>
              <c:numCache>
                <c:formatCode>#\ ##0\ _€</c:formatCode>
                <c:ptCount val="4"/>
                <c:pt idx="0">
                  <c:v>232569</c:v>
                </c:pt>
                <c:pt idx="1">
                  <c:v>211253</c:v>
                </c:pt>
                <c:pt idx="2">
                  <c:v>176107</c:v>
                </c:pt>
                <c:pt idx="3">
                  <c:v>155268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29-4C85-AA26-4A4533A25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34216"/>
        <c:axId val="382472448"/>
      </c:lineChart>
      <c:catAx>
        <c:axId val="17543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2472448"/>
        <c:crosses val="autoZero"/>
        <c:auto val="1"/>
        <c:lblAlgn val="ctr"/>
        <c:lblOffset val="100"/>
        <c:noMultiLvlLbl val="0"/>
      </c:catAx>
      <c:valAx>
        <c:axId val="382472448"/>
        <c:scaling>
          <c:orientation val="minMax"/>
        </c:scaling>
        <c:delete val="0"/>
        <c:axPos val="l"/>
        <c:majorGridlines/>
        <c:numFmt formatCode="#\ ##0\ _€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75434216"/>
        <c:crosses val="autoZero"/>
        <c:crossBetween val="between"/>
        <c:majorUnit val="1000000"/>
      </c:valAx>
    </c:plotArea>
    <c:legend>
      <c:legendPos val="r"/>
      <c:layout>
        <c:manualLayout>
          <c:xMode val="edge"/>
          <c:yMode val="edge"/>
          <c:x val="0.17460047278898227"/>
          <c:y val="0.45794958516091527"/>
          <c:w val="0.61096074285188928"/>
          <c:h val="0.28745117389264696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643172</xdr:colOff>
      <xdr:row>37</xdr:row>
      <xdr:rowOff>41785</xdr:rowOff>
    </xdr:from>
    <xdr:to>
      <xdr:col>36</xdr:col>
      <xdr:colOff>396775</xdr:colOff>
      <xdr:row>59</xdr:row>
      <xdr:rowOff>116858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415434</xdr:colOff>
      <xdr:row>55</xdr:row>
      <xdr:rowOff>63438</xdr:rowOff>
    </xdr:from>
    <xdr:to>
      <xdr:col>17</xdr:col>
      <xdr:colOff>539260</xdr:colOff>
      <xdr:row>70</xdr:row>
      <xdr:rowOff>44389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387711</xdr:colOff>
      <xdr:row>72</xdr:row>
      <xdr:rowOff>172124</xdr:rowOff>
    </xdr:from>
    <xdr:to>
      <xdr:col>17</xdr:col>
      <xdr:colOff>511537</xdr:colOff>
      <xdr:row>87</xdr:row>
      <xdr:rowOff>155407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615730</xdr:colOff>
      <xdr:row>53</xdr:row>
      <xdr:rowOff>183278</xdr:rowOff>
    </xdr:from>
    <xdr:to>
      <xdr:col>24</xdr:col>
      <xdr:colOff>615730</xdr:colOff>
      <xdr:row>68</xdr:row>
      <xdr:rowOff>90640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347380</xdr:colOff>
      <xdr:row>18</xdr:row>
      <xdr:rowOff>183215</xdr:rowOff>
    </xdr:from>
    <xdr:to>
      <xdr:col>27</xdr:col>
      <xdr:colOff>350182</xdr:colOff>
      <xdr:row>34</xdr:row>
      <xdr:rowOff>28014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210109</xdr:colOff>
      <xdr:row>35</xdr:row>
      <xdr:rowOff>42023</xdr:rowOff>
    </xdr:from>
    <xdr:to>
      <xdr:col>27</xdr:col>
      <xdr:colOff>224117</xdr:colOff>
      <xdr:row>51</xdr:row>
      <xdr:rowOff>154081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637671</xdr:colOff>
      <xdr:row>132</xdr:row>
      <xdr:rowOff>112876</xdr:rowOff>
    </xdr:from>
    <xdr:to>
      <xdr:col>44</xdr:col>
      <xdr:colOff>353922</xdr:colOff>
      <xdr:row>155</xdr:row>
      <xdr:rowOff>170787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473185</xdr:colOff>
      <xdr:row>156</xdr:row>
      <xdr:rowOff>18561</xdr:rowOff>
    </xdr:from>
    <xdr:to>
      <xdr:col>37</xdr:col>
      <xdr:colOff>586455</xdr:colOff>
      <xdr:row>171</xdr:row>
      <xdr:rowOff>96789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668408</xdr:colOff>
      <xdr:row>138</xdr:row>
      <xdr:rowOff>102689</xdr:rowOff>
    </xdr:from>
    <xdr:to>
      <xdr:col>38</xdr:col>
      <xdr:colOff>10298</xdr:colOff>
      <xdr:row>153</xdr:row>
      <xdr:rowOff>132892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703899</xdr:colOff>
      <xdr:row>156</xdr:row>
      <xdr:rowOff>168707</xdr:rowOff>
    </xdr:from>
    <xdr:to>
      <xdr:col>43</xdr:col>
      <xdr:colOff>705193</xdr:colOff>
      <xdr:row>171</xdr:row>
      <xdr:rowOff>138956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758770</xdr:colOff>
      <xdr:row>71</xdr:row>
      <xdr:rowOff>145296</xdr:rowOff>
    </xdr:from>
    <xdr:to>
      <xdr:col>46</xdr:col>
      <xdr:colOff>371058</xdr:colOff>
      <xdr:row>93</xdr:row>
      <xdr:rowOff>90254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523066</xdr:colOff>
      <xdr:row>48</xdr:row>
      <xdr:rowOff>162087</xdr:rowOff>
    </xdr:from>
    <xdr:to>
      <xdr:col>46</xdr:col>
      <xdr:colOff>135354</xdr:colOff>
      <xdr:row>70</xdr:row>
      <xdr:rowOff>139333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716797</xdr:colOff>
      <xdr:row>20</xdr:row>
      <xdr:rowOff>113654</xdr:rowOff>
    </xdr:from>
    <xdr:to>
      <xdr:col>46</xdr:col>
      <xdr:colOff>329085</xdr:colOff>
      <xdr:row>42</xdr:row>
      <xdr:rowOff>90900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190500</xdr:colOff>
      <xdr:row>21</xdr:row>
      <xdr:rowOff>0</xdr:rowOff>
    </xdr:from>
    <xdr:to>
      <xdr:col>56</xdr:col>
      <xdr:colOff>532500</xdr:colOff>
      <xdr:row>42</xdr:row>
      <xdr:rowOff>186150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47</xdr:col>
      <xdr:colOff>381000</xdr:colOff>
      <xdr:row>49</xdr:row>
      <xdr:rowOff>76200</xdr:rowOff>
    </xdr:from>
    <xdr:to>
      <xdr:col>56</xdr:col>
      <xdr:colOff>723000</xdr:colOff>
      <xdr:row>71</xdr:row>
      <xdr:rowOff>14700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47</xdr:col>
      <xdr:colOff>266700</xdr:colOff>
      <xdr:row>72</xdr:row>
      <xdr:rowOff>0</xdr:rowOff>
    </xdr:from>
    <xdr:to>
      <xdr:col>56</xdr:col>
      <xdr:colOff>608700</xdr:colOff>
      <xdr:row>93</xdr:row>
      <xdr:rowOff>167100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84214</xdr:colOff>
      <xdr:row>32</xdr:row>
      <xdr:rowOff>86825</xdr:rowOff>
    </xdr:from>
    <xdr:to>
      <xdr:col>37</xdr:col>
      <xdr:colOff>674558</xdr:colOff>
      <xdr:row>54</xdr:row>
      <xdr:rowOff>184559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248627</xdr:colOff>
      <xdr:row>65</xdr:row>
      <xdr:rowOff>87739</xdr:rowOff>
    </xdr:from>
    <xdr:to>
      <xdr:col>17</xdr:col>
      <xdr:colOff>372454</xdr:colOff>
      <xdr:row>80</xdr:row>
      <xdr:rowOff>68689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631338</xdr:colOff>
      <xdr:row>67</xdr:row>
      <xdr:rowOff>133541</xdr:rowOff>
    </xdr:from>
    <xdr:to>
      <xdr:col>25</xdr:col>
      <xdr:colOff>735838</xdr:colOff>
      <xdr:row>82</xdr:row>
      <xdr:rowOff>94647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364447</xdr:colOff>
      <xdr:row>68</xdr:row>
      <xdr:rowOff>149071</xdr:rowOff>
    </xdr:from>
    <xdr:to>
      <xdr:col>34</xdr:col>
      <xdr:colOff>343236</xdr:colOff>
      <xdr:row>82</xdr:row>
      <xdr:rowOff>167086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571501</xdr:colOff>
      <xdr:row>18</xdr:row>
      <xdr:rowOff>188290</xdr:rowOff>
    </xdr:from>
    <xdr:to>
      <xdr:col>28</xdr:col>
      <xdr:colOff>234675</xdr:colOff>
      <xdr:row>37</xdr:row>
      <xdr:rowOff>13803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138905</xdr:colOff>
      <xdr:row>38</xdr:row>
      <xdr:rowOff>59531</xdr:rowOff>
    </xdr:from>
    <xdr:to>
      <xdr:col>28</xdr:col>
      <xdr:colOff>635000</xdr:colOff>
      <xdr:row>56</xdr:row>
      <xdr:rowOff>59531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354813</xdr:colOff>
      <xdr:row>93</xdr:row>
      <xdr:rowOff>58839</xdr:rowOff>
    </xdr:from>
    <xdr:to>
      <xdr:col>33</xdr:col>
      <xdr:colOff>107788</xdr:colOff>
      <xdr:row>116</xdr:row>
      <xdr:rowOff>24182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617426</xdr:colOff>
      <xdr:row>131</xdr:row>
      <xdr:rowOff>51742</xdr:rowOff>
    </xdr:from>
    <xdr:to>
      <xdr:col>28</xdr:col>
      <xdr:colOff>741252</xdr:colOff>
      <xdr:row>146</xdr:row>
      <xdr:rowOff>104914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483714</xdr:colOff>
      <xdr:row>103</xdr:row>
      <xdr:rowOff>58029</xdr:rowOff>
    </xdr:from>
    <xdr:to>
      <xdr:col>40</xdr:col>
      <xdr:colOff>590428</xdr:colOff>
      <xdr:row>117</xdr:row>
      <xdr:rowOff>190322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44022</xdr:colOff>
      <xdr:row>111</xdr:row>
      <xdr:rowOff>45187</xdr:rowOff>
    </xdr:from>
    <xdr:to>
      <xdr:col>27</xdr:col>
      <xdr:colOff>34645</xdr:colOff>
      <xdr:row>125</xdr:row>
      <xdr:rowOff>127076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637671</xdr:colOff>
      <xdr:row>132</xdr:row>
      <xdr:rowOff>112876</xdr:rowOff>
    </xdr:from>
    <xdr:to>
      <xdr:col>44</xdr:col>
      <xdr:colOff>353922</xdr:colOff>
      <xdr:row>155</xdr:row>
      <xdr:rowOff>170787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473185</xdr:colOff>
      <xdr:row>156</xdr:row>
      <xdr:rowOff>18561</xdr:rowOff>
    </xdr:from>
    <xdr:to>
      <xdr:col>37</xdr:col>
      <xdr:colOff>586455</xdr:colOff>
      <xdr:row>171</xdr:row>
      <xdr:rowOff>96789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668408</xdr:colOff>
      <xdr:row>138</xdr:row>
      <xdr:rowOff>102689</xdr:rowOff>
    </xdr:from>
    <xdr:to>
      <xdr:col>38</xdr:col>
      <xdr:colOff>10298</xdr:colOff>
      <xdr:row>153</xdr:row>
      <xdr:rowOff>132892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703899</xdr:colOff>
      <xdr:row>156</xdr:row>
      <xdr:rowOff>168707</xdr:rowOff>
    </xdr:from>
    <xdr:to>
      <xdr:col>43</xdr:col>
      <xdr:colOff>705193</xdr:colOff>
      <xdr:row>171</xdr:row>
      <xdr:rowOff>138956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551657</xdr:colOff>
      <xdr:row>34</xdr:row>
      <xdr:rowOff>17462</xdr:rowOff>
    </xdr:from>
    <xdr:to>
      <xdr:col>46</xdr:col>
      <xdr:colOff>211032</xdr:colOff>
      <xdr:row>55</xdr:row>
      <xdr:rowOff>110744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571500</xdr:colOff>
      <xdr:row>57</xdr:row>
      <xdr:rowOff>17462</xdr:rowOff>
    </xdr:from>
    <xdr:to>
      <xdr:col>47</xdr:col>
      <xdr:colOff>230875</xdr:colOff>
      <xdr:row>78</xdr:row>
      <xdr:rowOff>90900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104531</xdr:colOff>
      <xdr:row>53</xdr:row>
      <xdr:rowOff>193428</xdr:rowOff>
    </xdr:from>
    <xdr:to>
      <xdr:col>13</xdr:col>
      <xdr:colOff>631322</xdr:colOff>
      <xdr:row>77</xdr:row>
      <xdr:rowOff>42631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434525</xdr:colOff>
      <xdr:row>58</xdr:row>
      <xdr:rowOff>82212</xdr:rowOff>
    </xdr:from>
    <xdr:to>
      <xdr:col>21</xdr:col>
      <xdr:colOff>558353</xdr:colOff>
      <xdr:row>73</xdr:row>
      <xdr:rowOff>25207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604108</xdr:colOff>
      <xdr:row>56</xdr:row>
      <xdr:rowOff>14105</xdr:rowOff>
    </xdr:from>
    <xdr:to>
      <xdr:col>30</xdr:col>
      <xdr:colOff>658287</xdr:colOff>
      <xdr:row>71</xdr:row>
      <xdr:rowOff>139659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171660</xdr:colOff>
      <xdr:row>34</xdr:row>
      <xdr:rowOff>141306</xdr:rowOff>
    </xdr:from>
    <xdr:to>
      <xdr:col>33</xdr:col>
      <xdr:colOff>119151</xdr:colOff>
      <xdr:row>49</xdr:row>
      <xdr:rowOff>39483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634999</xdr:colOff>
      <xdr:row>18</xdr:row>
      <xdr:rowOff>24423</xdr:rowOff>
    </xdr:from>
    <xdr:to>
      <xdr:col>26</xdr:col>
      <xdr:colOff>659422</xdr:colOff>
      <xdr:row>33</xdr:row>
      <xdr:rowOff>149223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656980</xdr:colOff>
      <xdr:row>38</xdr:row>
      <xdr:rowOff>85480</xdr:rowOff>
    </xdr:from>
    <xdr:to>
      <xdr:col>25</xdr:col>
      <xdr:colOff>561729</xdr:colOff>
      <xdr:row>55</xdr:row>
      <xdr:rowOff>28331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539920</xdr:colOff>
      <xdr:row>60</xdr:row>
      <xdr:rowOff>28940</xdr:rowOff>
    </xdr:from>
    <xdr:to>
      <xdr:col>33</xdr:col>
      <xdr:colOff>292249</xdr:colOff>
      <xdr:row>83</xdr:row>
      <xdr:rowOff>49809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619143</xdr:colOff>
      <xdr:row>59</xdr:row>
      <xdr:rowOff>142801</xdr:rowOff>
    </xdr:from>
    <xdr:to>
      <xdr:col>27</xdr:col>
      <xdr:colOff>167856</xdr:colOff>
      <xdr:row>74</xdr:row>
      <xdr:rowOff>130435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520715</xdr:colOff>
      <xdr:row>42</xdr:row>
      <xdr:rowOff>35104</xdr:rowOff>
    </xdr:from>
    <xdr:to>
      <xdr:col>34</xdr:col>
      <xdr:colOff>528105</xdr:colOff>
      <xdr:row>58</xdr:row>
      <xdr:rowOff>46476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386150</xdr:colOff>
      <xdr:row>19</xdr:row>
      <xdr:rowOff>139648</xdr:rowOff>
    </xdr:from>
    <xdr:to>
      <xdr:col>33</xdr:col>
      <xdr:colOff>293538</xdr:colOff>
      <xdr:row>34</xdr:row>
      <xdr:rowOff>83988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717826</xdr:colOff>
      <xdr:row>20</xdr:row>
      <xdr:rowOff>105465</xdr:rowOff>
    </xdr:from>
    <xdr:to>
      <xdr:col>26</xdr:col>
      <xdr:colOff>124240</xdr:colOff>
      <xdr:row>34</xdr:row>
      <xdr:rowOff>41412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504264</xdr:colOff>
      <xdr:row>36</xdr:row>
      <xdr:rowOff>149412</xdr:rowOff>
    </xdr:from>
    <xdr:to>
      <xdr:col>25</xdr:col>
      <xdr:colOff>522942</xdr:colOff>
      <xdr:row>54</xdr:row>
      <xdr:rowOff>37353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138545</xdr:colOff>
      <xdr:row>21</xdr:row>
      <xdr:rowOff>135082</xdr:rowOff>
    </xdr:from>
    <xdr:to>
      <xdr:col>45</xdr:col>
      <xdr:colOff>692726</xdr:colOff>
      <xdr:row>37</xdr:row>
      <xdr:rowOff>155864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436201</xdr:colOff>
      <xdr:row>44</xdr:row>
      <xdr:rowOff>144821</xdr:rowOff>
    </xdr:from>
    <xdr:to>
      <xdr:col>55</xdr:col>
      <xdr:colOff>401565</xdr:colOff>
      <xdr:row>63</xdr:row>
      <xdr:rowOff>4869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443630</xdr:colOff>
      <xdr:row>37</xdr:row>
      <xdr:rowOff>26097</xdr:rowOff>
    </xdr:from>
    <xdr:to>
      <xdr:col>24</xdr:col>
      <xdr:colOff>404486</xdr:colOff>
      <xdr:row>55</xdr:row>
      <xdr:rowOff>52192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666750</xdr:colOff>
      <xdr:row>38</xdr:row>
      <xdr:rowOff>190500</xdr:rowOff>
    </xdr:from>
    <xdr:to>
      <xdr:col>22</xdr:col>
      <xdr:colOff>95250</xdr:colOff>
      <xdr:row>58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5"/>
  <sheetViews>
    <sheetView tabSelected="1" topLeftCell="J61" zoomScaleNormal="100" zoomScalePageLayoutView="57" workbookViewId="0">
      <selection activeCell="N57" sqref="N57:Q69"/>
    </sheetView>
  </sheetViews>
  <sheetFormatPr baseColWidth="10" defaultRowHeight="15" x14ac:dyDescent="0.25"/>
  <cols>
    <col min="1" max="1" width="11.5703125" bestFit="1" customWidth="1"/>
    <col min="2" max="5" width="14.140625" bestFit="1" customWidth="1"/>
    <col min="8" max="8" width="13.140625" customWidth="1"/>
    <col min="9" max="9" width="12.5703125" customWidth="1"/>
    <col min="10" max="10" width="13.42578125" customWidth="1"/>
    <col min="11" max="11" width="11.42578125" bestFit="1" customWidth="1"/>
    <col min="23" max="23" width="12.42578125" customWidth="1"/>
    <col min="33" max="33" width="15.85546875" customWidth="1"/>
    <col min="34" max="34" width="16.42578125" customWidth="1"/>
    <col min="35" max="35" width="14.5703125" customWidth="1"/>
    <col min="36" max="36" width="15.85546875" customWidth="1"/>
    <col min="38" max="38" width="14.28515625" customWidth="1"/>
    <col min="39" max="40" width="14.140625" bestFit="1" customWidth="1"/>
    <col min="41" max="41" width="14.7109375" bestFit="1" customWidth="1"/>
    <col min="44" max="44" width="11.5703125" bestFit="1" customWidth="1"/>
  </cols>
  <sheetData>
    <row r="1" spans="1:29" s="126" customFormat="1" ht="32.25" customHeight="1" x14ac:dyDescent="0.25">
      <c r="A1" s="209" t="s">
        <v>224</v>
      </c>
    </row>
    <row r="2" spans="1:29" s="117" customFormat="1" x14ac:dyDescent="0.25"/>
    <row r="3" spans="1:29" s="200" customFormat="1" ht="18.75" x14ac:dyDescent="0.25">
      <c r="A3" s="199" t="s">
        <v>225</v>
      </c>
      <c r="G3" s="199" t="s">
        <v>226</v>
      </c>
      <c r="M3" s="199" t="s">
        <v>228</v>
      </c>
      <c r="R3" s="199"/>
      <c r="S3" s="199" t="s">
        <v>229</v>
      </c>
      <c r="Y3" s="199" t="s">
        <v>230</v>
      </c>
    </row>
    <row r="4" spans="1:29" x14ac:dyDescent="0.25">
      <c r="A4" s="193" t="str">
        <f>'PAX AJA TL+NI'!A1</f>
        <v>CAPACITE PAX  AJACCIO TOULON</v>
      </c>
      <c r="B4" s="196"/>
      <c r="C4" s="196"/>
      <c r="D4" s="196"/>
      <c r="E4" s="197"/>
      <c r="G4" s="193" t="str">
        <f>'PAX BAS TL+NI'!A1</f>
        <v>CAPACITE PAX BASTIA TOULON</v>
      </c>
      <c r="H4" s="20"/>
      <c r="I4" s="20"/>
      <c r="J4" s="20"/>
      <c r="K4" s="20"/>
      <c r="M4" s="193" t="str">
        <f>'PAX ILR TL+NI'!A1</f>
        <v>CAPACITE PAX  ILE ROUSSE TOULON</v>
      </c>
      <c r="N4" s="194"/>
      <c r="O4" s="194"/>
      <c r="P4" s="194"/>
      <c r="Q4" s="195"/>
      <c r="S4" s="193" t="str">
        <f>'PAX PVE TL+NI'!A1</f>
        <v>CAPACITE PAX LIGNES PORTO VECCHIO TOULON</v>
      </c>
      <c r="T4" s="194"/>
      <c r="U4" s="194"/>
      <c r="V4" s="194"/>
      <c r="W4" s="195"/>
      <c r="Y4" s="193" t="str">
        <f>'PAX PRO TL'!A1</f>
        <v>CAPACITE PAX PROPRIANO TOULON</v>
      </c>
      <c r="Z4" s="194"/>
      <c r="AA4" s="194"/>
      <c r="AB4" s="194"/>
      <c r="AC4" s="195"/>
    </row>
    <row r="5" spans="1:29" x14ac:dyDescent="0.25">
      <c r="A5" s="192"/>
      <c r="B5" s="20">
        <f>'PAX AJA TL+NI'!B2</f>
        <v>2014</v>
      </c>
      <c r="C5" s="20">
        <f>'PAX AJA TL+NI'!C2</f>
        <v>2015</v>
      </c>
      <c r="D5" s="20">
        <f>'PAX AJA TL+NI'!D2</f>
        <v>2016</v>
      </c>
      <c r="E5" s="20">
        <f>'PAX AJA TL+NI'!E2</f>
        <v>2017</v>
      </c>
      <c r="G5" s="118"/>
      <c r="H5" s="20">
        <f>'PAX BAS TL+NI'!B2</f>
        <v>2014</v>
      </c>
      <c r="I5" s="20">
        <f>'PAX BAS TL+NI'!C2</f>
        <v>2015</v>
      </c>
      <c r="J5" s="20">
        <f>'PAX BAS TL+NI'!D2</f>
        <v>2016</v>
      </c>
      <c r="K5" s="20">
        <f>'PAX BAS TL+NI'!E2</f>
        <v>2017</v>
      </c>
      <c r="M5" s="118"/>
      <c r="N5" s="20">
        <f>'PAX ILR TL+NI'!B2</f>
        <v>2014</v>
      </c>
      <c r="O5" s="20">
        <f>'PAX ILR TL+NI'!C2</f>
        <v>2015</v>
      </c>
      <c r="P5" s="20">
        <f>'PAX ILR TL+NI'!D2</f>
        <v>2016</v>
      </c>
      <c r="Q5" s="20">
        <f>'PAX ILR TL+NI'!E2</f>
        <v>2017</v>
      </c>
      <c r="S5" s="118"/>
      <c r="T5" s="20">
        <f>'PAX PVE TL+NI'!B2</f>
        <v>2014</v>
      </c>
      <c r="U5" s="20">
        <f>'PAX PVE TL+NI'!C2</f>
        <v>2015</v>
      </c>
      <c r="V5" s="20">
        <f>'PAX PVE TL+NI'!D2</f>
        <v>2016</v>
      </c>
      <c r="W5" s="20">
        <f>'PAX PVE TL+NI'!E2</f>
        <v>2017</v>
      </c>
      <c r="Y5" s="118">
        <f>'PAX PRO TL'!A2</f>
        <v>0</v>
      </c>
      <c r="Z5" s="20">
        <f>'PAX PRO TL'!B2</f>
        <v>2014</v>
      </c>
      <c r="AA5" s="20">
        <f>'PAX PRO TL'!C2</f>
        <v>2015</v>
      </c>
      <c r="AB5" s="20">
        <f>'PAX PRO TL'!D2</f>
        <v>2016</v>
      </c>
      <c r="AC5" s="20">
        <f>'PAX PRO TL'!E2</f>
        <v>2017</v>
      </c>
    </row>
    <row r="6" spans="1:29" x14ac:dyDescent="0.25">
      <c r="A6" s="171" t="str">
        <f>'PAX AJA TL+NI'!A3</f>
        <v>jan</v>
      </c>
      <c r="B6" s="205">
        <f>'PAX AJA TL+NI'!B3</f>
        <v>150548</v>
      </c>
      <c r="C6" s="205">
        <f>'PAX AJA TL+NI'!C3</f>
        <v>132097</v>
      </c>
      <c r="D6" s="205">
        <f>'PAX AJA TL+NI'!D3</f>
        <v>134144</v>
      </c>
      <c r="E6" s="205">
        <f>'PAX AJA TL+NI'!E3</f>
        <v>131039</v>
      </c>
      <c r="G6" s="171" t="str">
        <f>'PAX BAS TL+NI'!A3</f>
        <v>jan</v>
      </c>
      <c r="H6" s="205">
        <f>'PAX BAS TL+NI'!B3</f>
        <v>143279</v>
      </c>
      <c r="I6" s="205">
        <f>'PAX BAS TL+NI'!C3</f>
        <v>126227</v>
      </c>
      <c r="J6" s="205">
        <f>'PAX BAS TL+NI'!D3</f>
        <v>134017</v>
      </c>
      <c r="K6" s="205">
        <f>'PAX BAS TL+NI'!E3</f>
        <v>119306</v>
      </c>
      <c r="M6" s="171" t="str">
        <f>'PAX ILR TL+NI'!A3</f>
        <v>jan</v>
      </c>
      <c r="N6" s="205">
        <f>'PAX ILR TL+NI'!B3</f>
        <v>0</v>
      </c>
      <c r="O6" s="205">
        <f>'PAX ILR TL+NI'!C3</f>
        <v>1060</v>
      </c>
      <c r="P6" s="205">
        <f>'PAX ILR TL+NI'!D3</f>
        <v>0</v>
      </c>
      <c r="Q6" s="205">
        <f>'PAX ILR TL+NI'!E3</f>
        <v>1896</v>
      </c>
      <c r="S6" s="171" t="str">
        <f>'PAX PVE TL+NI'!A3</f>
        <v>jan</v>
      </c>
      <c r="T6" s="205">
        <f>'PAX PVE TL+NI'!B3</f>
        <v>0</v>
      </c>
      <c r="U6" s="205">
        <f>'PAX PVE TL+NI'!C3</f>
        <v>0</v>
      </c>
      <c r="V6" s="205">
        <f>'PAX PVE TL+NI'!D3</f>
        <v>1896</v>
      </c>
      <c r="W6" s="205">
        <f>'PAX PVE TL+NI'!E3</f>
        <v>1896</v>
      </c>
      <c r="Y6" s="171" t="str">
        <f>'PAX PRO TL'!A3</f>
        <v>jan</v>
      </c>
      <c r="Z6" s="205">
        <f>'PAX PRO TL'!B3</f>
        <v>0</v>
      </c>
      <c r="AA6" s="205">
        <f>'PAX PRO TL'!C3</f>
        <v>0</v>
      </c>
      <c r="AB6" s="205">
        <f>'PAX PRO TL'!D3</f>
        <v>0</v>
      </c>
      <c r="AC6" s="205">
        <f>'PAX PRO TL'!E3</f>
        <v>0</v>
      </c>
    </row>
    <row r="7" spans="1:29" x14ac:dyDescent="0.25">
      <c r="A7" s="171" t="str">
        <f>'PAX AJA TL+NI'!A4</f>
        <v>fév</v>
      </c>
      <c r="B7" s="205">
        <f>'PAX AJA TL+NI'!B4</f>
        <v>109921</v>
      </c>
      <c r="C7" s="205">
        <f>'PAX AJA TL+NI'!C4</f>
        <v>111720</v>
      </c>
      <c r="D7" s="205">
        <f>'PAX AJA TL+NI'!D4</f>
        <v>125762</v>
      </c>
      <c r="E7" s="205">
        <f>'PAX AJA TL+NI'!E4</f>
        <v>116310</v>
      </c>
      <c r="G7" s="171" t="str">
        <f>'PAX BAS TL+NI'!A4</f>
        <v>fév</v>
      </c>
      <c r="H7" s="205">
        <f>'PAX BAS TL+NI'!B4</f>
        <v>117271</v>
      </c>
      <c r="I7" s="205">
        <f>'PAX BAS TL+NI'!C4</f>
        <v>111454</v>
      </c>
      <c r="J7" s="205">
        <f>'PAX BAS TL+NI'!D4</f>
        <v>124004</v>
      </c>
      <c r="K7" s="205">
        <f>'PAX BAS TL+NI'!E4</f>
        <v>113855</v>
      </c>
      <c r="M7" s="171" t="str">
        <f>'PAX ILR TL+NI'!A4</f>
        <v>fév</v>
      </c>
      <c r="N7" s="205">
        <f>'PAX ILR TL+NI'!B4</f>
        <v>1060</v>
      </c>
      <c r="O7" s="205">
        <f>'PAX ILR TL+NI'!C4</f>
        <v>4240</v>
      </c>
      <c r="P7" s="205">
        <f>'PAX ILR TL+NI'!D4</f>
        <v>0</v>
      </c>
      <c r="Q7" s="205">
        <f>'PAX ILR TL+NI'!E4</f>
        <v>5792</v>
      </c>
      <c r="S7" s="171" t="str">
        <f>'PAX PVE TL+NI'!A4</f>
        <v>fév</v>
      </c>
      <c r="T7" s="205">
        <f>'PAX PVE TL+NI'!B4</f>
        <v>1060</v>
      </c>
      <c r="U7" s="205">
        <f>'PAX PVE TL+NI'!C4</f>
        <v>0</v>
      </c>
      <c r="V7" s="205">
        <f>'PAX PVE TL+NI'!D4</f>
        <v>0</v>
      </c>
      <c r="W7" s="205">
        <f>'PAX PVE TL+NI'!E4</f>
        <v>0</v>
      </c>
      <c r="Y7" s="171" t="str">
        <f>'PAX PRO TL'!A4</f>
        <v>fév</v>
      </c>
      <c r="Z7" s="205">
        <f>'PAX PRO TL'!B4</f>
        <v>0</v>
      </c>
      <c r="AA7" s="205">
        <f>'PAX PRO TL'!C4</f>
        <v>0</v>
      </c>
      <c r="AB7" s="205">
        <f>'PAX PRO TL'!D4</f>
        <v>0</v>
      </c>
      <c r="AC7" s="205">
        <f>'PAX PRO TL'!E4</f>
        <v>0</v>
      </c>
    </row>
    <row r="8" spans="1:29" x14ac:dyDescent="0.25">
      <c r="A8" s="171" t="str">
        <f>'PAX AJA TL+NI'!A5</f>
        <v>mar</v>
      </c>
      <c r="B8" s="205">
        <f>'PAX AJA TL+NI'!B5</f>
        <v>122995</v>
      </c>
      <c r="C8" s="205">
        <f>'PAX AJA TL+NI'!C5</f>
        <v>124413</v>
      </c>
      <c r="D8" s="205">
        <f>'PAX AJA TL+NI'!D5</f>
        <v>132905</v>
      </c>
      <c r="E8" s="205">
        <f>'PAX AJA TL+NI'!E5</f>
        <v>127847</v>
      </c>
      <c r="G8" s="171" t="str">
        <f>'PAX BAS TL+NI'!A5</f>
        <v>mar</v>
      </c>
      <c r="H8" s="205">
        <f>'PAX BAS TL+NI'!B5</f>
        <v>128865</v>
      </c>
      <c r="I8" s="205">
        <f>'PAX BAS TL+NI'!C5</f>
        <v>123041</v>
      </c>
      <c r="J8" s="205">
        <f>'PAX BAS TL+NI'!D5</f>
        <v>123565</v>
      </c>
      <c r="K8" s="205">
        <f>'PAX BAS TL+NI'!E5</f>
        <v>124775</v>
      </c>
      <c r="M8" s="171" t="str">
        <f>'PAX ILR TL+NI'!A5</f>
        <v>mar</v>
      </c>
      <c r="N8" s="205">
        <f>'PAX ILR TL+NI'!B5</f>
        <v>0</v>
      </c>
      <c r="O8" s="205">
        <f>'PAX ILR TL+NI'!C5</f>
        <v>2120</v>
      </c>
      <c r="P8" s="205">
        <f>'PAX ILR TL+NI'!D5</f>
        <v>0</v>
      </c>
      <c r="Q8" s="205">
        <f>'PAX ILR TL+NI'!E5</f>
        <v>0</v>
      </c>
      <c r="S8" s="171" t="str">
        <f>'PAX PVE TL+NI'!A5</f>
        <v>mar</v>
      </c>
      <c r="T8" s="205">
        <f>'PAX PVE TL+NI'!B5</f>
        <v>0</v>
      </c>
      <c r="U8" s="205">
        <f>'PAX PVE TL+NI'!C5</f>
        <v>0</v>
      </c>
      <c r="V8" s="205">
        <f>'PAX PVE TL+NI'!D5</f>
        <v>0</v>
      </c>
      <c r="W8" s="205">
        <f>'PAX PVE TL+NI'!E5</f>
        <v>0</v>
      </c>
      <c r="Y8" s="171" t="str">
        <f>'PAX PRO TL'!A5</f>
        <v>mar</v>
      </c>
      <c r="Z8" s="205">
        <f>'PAX PRO TL'!B5</f>
        <v>0</v>
      </c>
      <c r="AA8" s="205">
        <f>'PAX PRO TL'!C5</f>
        <v>0</v>
      </c>
      <c r="AB8" s="205">
        <f>'PAX PRO TL'!D5</f>
        <v>0</v>
      </c>
      <c r="AC8" s="205">
        <f>'PAX PRO TL'!E5</f>
        <v>0</v>
      </c>
    </row>
    <row r="9" spans="1:29" x14ac:dyDescent="0.25">
      <c r="A9" s="171" t="str">
        <f>'PAX AJA TL+NI'!A6</f>
        <v>avr</v>
      </c>
      <c r="B9" s="205">
        <f>'PAX AJA TL+NI'!B6</f>
        <v>162034</v>
      </c>
      <c r="C9" s="205">
        <f>'PAX AJA TL+NI'!C6</f>
        <v>163405</v>
      </c>
      <c r="D9" s="205">
        <f>'PAX AJA TL+NI'!D6</f>
        <v>194071</v>
      </c>
      <c r="E9" s="205">
        <f>'PAX AJA TL+NI'!E6</f>
        <v>177441</v>
      </c>
      <c r="G9" s="171" t="str">
        <f>'PAX BAS TL+NI'!A6</f>
        <v>avr</v>
      </c>
      <c r="H9" s="205">
        <f>'PAX BAS TL+NI'!B6</f>
        <v>113568</v>
      </c>
      <c r="I9" s="205">
        <f>'PAX BAS TL+NI'!C6</f>
        <v>119987</v>
      </c>
      <c r="J9" s="205">
        <f>'PAX BAS TL+NI'!D6</f>
        <v>122745</v>
      </c>
      <c r="K9" s="205">
        <f>'PAX BAS TL+NI'!E6</f>
        <v>133456</v>
      </c>
      <c r="M9" s="171" t="str">
        <f>'PAX ILR TL+NI'!A6</f>
        <v>avr</v>
      </c>
      <c r="N9" s="205">
        <f>'PAX ILR TL+NI'!B6</f>
        <v>15104</v>
      </c>
      <c r="O9" s="205">
        <f>'PAX ILR TL+NI'!C6</f>
        <v>13507</v>
      </c>
      <c r="P9" s="205">
        <f>'PAX ILR TL+NI'!D6</f>
        <v>37280</v>
      </c>
      <c r="Q9" s="205">
        <f>'PAX ILR TL+NI'!E6</f>
        <v>30952</v>
      </c>
      <c r="S9" s="171" t="str">
        <f>'PAX PVE TL+NI'!A6</f>
        <v>avr</v>
      </c>
      <c r="T9" s="205">
        <f>'PAX PVE TL+NI'!B6</f>
        <v>0</v>
      </c>
      <c r="U9" s="205">
        <f>'PAX PVE TL+NI'!C6</f>
        <v>0</v>
      </c>
      <c r="V9" s="205">
        <f>'PAX PVE TL+NI'!D6</f>
        <v>0</v>
      </c>
      <c r="W9" s="205">
        <f>'PAX PVE TL+NI'!E6</f>
        <v>5865</v>
      </c>
      <c r="Y9" s="171" t="str">
        <f>'PAX PRO TL'!A6</f>
        <v>avr</v>
      </c>
      <c r="Z9" s="205">
        <f>'PAX PRO TL'!B6</f>
        <v>0</v>
      </c>
      <c r="AA9" s="205">
        <f>'PAX PRO TL'!C6</f>
        <v>0</v>
      </c>
      <c r="AB9" s="205">
        <f>'PAX PRO TL'!D6</f>
        <v>0</v>
      </c>
      <c r="AC9" s="205">
        <f>'PAX PRO TL'!E6</f>
        <v>0</v>
      </c>
    </row>
    <row r="10" spans="1:29" x14ac:dyDescent="0.25">
      <c r="A10" s="171" t="str">
        <f>'PAX AJA TL+NI'!A7</f>
        <v>mai</v>
      </c>
      <c r="B10" s="205">
        <f>'PAX AJA TL+NI'!B7</f>
        <v>209788</v>
      </c>
      <c r="C10" s="205">
        <f>'PAX AJA TL+NI'!C7</f>
        <v>199506</v>
      </c>
      <c r="D10" s="205">
        <f>'PAX AJA TL+NI'!D7</f>
        <v>175899</v>
      </c>
      <c r="E10" s="205">
        <f>'PAX AJA TL+NI'!E7</f>
        <v>181781</v>
      </c>
      <c r="G10" s="171" t="str">
        <f>'PAX BAS TL+NI'!A7</f>
        <v>mai</v>
      </c>
      <c r="H10" s="205">
        <f>'PAX BAS TL+NI'!B7</f>
        <v>125168</v>
      </c>
      <c r="I10" s="205">
        <f>'PAX BAS TL+NI'!C7</f>
        <v>138229</v>
      </c>
      <c r="J10" s="205">
        <f>'PAX BAS TL+NI'!D7</f>
        <v>137077</v>
      </c>
      <c r="K10" s="205">
        <f>'PAX BAS TL+NI'!E7</f>
        <v>133411</v>
      </c>
      <c r="M10" s="171" t="str">
        <f>'PAX ILR TL+NI'!A7</f>
        <v>mai</v>
      </c>
      <c r="N10" s="205">
        <f>'PAX ILR TL+NI'!B7</f>
        <v>37824</v>
      </c>
      <c r="O10" s="205">
        <f>'PAX ILR TL+NI'!C7</f>
        <v>26625</v>
      </c>
      <c r="P10" s="205">
        <f>'PAX ILR TL+NI'!D7</f>
        <v>23400</v>
      </c>
      <c r="Q10" s="205">
        <f>'PAX ILR TL+NI'!E7</f>
        <v>39930</v>
      </c>
      <c r="S10" s="171" t="str">
        <f>'PAX PVE TL+NI'!A7</f>
        <v>mai</v>
      </c>
      <c r="T10" s="205">
        <f>'PAX PVE TL+NI'!B7</f>
        <v>0</v>
      </c>
      <c r="U10" s="205">
        <f>'PAX PVE TL+NI'!C7</f>
        <v>0</v>
      </c>
      <c r="V10" s="205">
        <f>'PAX PVE TL+NI'!D7</f>
        <v>0</v>
      </c>
      <c r="W10" s="205">
        <f>'PAX PVE TL+NI'!E7</f>
        <v>4000</v>
      </c>
      <c r="Y10" s="171" t="str">
        <f>'PAX PRO TL'!A7</f>
        <v>mai</v>
      </c>
      <c r="Z10" s="205">
        <f>'PAX PRO TL'!B7</f>
        <v>0</v>
      </c>
      <c r="AA10" s="205">
        <f>'PAX PRO TL'!C7</f>
        <v>0</v>
      </c>
      <c r="AB10" s="205">
        <f>'PAX PRO TL'!D7</f>
        <v>0</v>
      </c>
      <c r="AC10" s="205">
        <f>'PAX PRO TL'!E7</f>
        <v>0</v>
      </c>
    </row>
    <row r="11" spans="1:29" x14ac:dyDescent="0.25">
      <c r="A11" s="171" t="str">
        <f>'PAX AJA TL+NI'!A8</f>
        <v>juin</v>
      </c>
      <c r="B11" s="205">
        <f>'PAX AJA TL+NI'!B8</f>
        <v>219068</v>
      </c>
      <c r="C11" s="205">
        <f>'PAX AJA TL+NI'!C8</f>
        <v>230421</v>
      </c>
      <c r="D11" s="205">
        <f>'PAX AJA TL+NI'!D8</f>
        <v>211548</v>
      </c>
      <c r="E11" s="205">
        <f>'PAX AJA TL+NI'!E8</f>
        <v>193601</v>
      </c>
      <c r="G11" s="171" t="str">
        <f>'PAX BAS TL+NI'!A8</f>
        <v>juin</v>
      </c>
      <c r="H11" s="205">
        <f>'PAX BAS TL+NI'!B8</f>
        <v>114144</v>
      </c>
      <c r="I11" s="205">
        <f>'PAX BAS TL+NI'!C8</f>
        <v>115623</v>
      </c>
      <c r="J11" s="205">
        <f>'PAX BAS TL+NI'!D8</f>
        <v>141185</v>
      </c>
      <c r="K11" s="205">
        <f>'PAX BAS TL+NI'!E8</f>
        <v>138387</v>
      </c>
      <c r="M11" s="171" t="str">
        <f>'PAX ILR TL+NI'!A8</f>
        <v>juin</v>
      </c>
      <c r="N11" s="205">
        <f>'PAX ILR TL+NI'!B8</f>
        <v>36281</v>
      </c>
      <c r="O11" s="205">
        <f>'PAX ILR TL+NI'!C8</f>
        <v>47788</v>
      </c>
      <c r="P11" s="205">
        <f>'PAX ILR TL+NI'!D8</f>
        <v>57663</v>
      </c>
      <c r="Q11" s="205">
        <f>'PAX ILR TL+NI'!E8</f>
        <v>42057</v>
      </c>
      <c r="S11" s="171" t="str">
        <f>'PAX PVE TL+NI'!A8</f>
        <v>juin</v>
      </c>
      <c r="T11" s="205">
        <f>'PAX PVE TL+NI'!B8</f>
        <v>0</v>
      </c>
      <c r="U11" s="205">
        <f>'PAX PVE TL+NI'!C8</f>
        <v>0</v>
      </c>
      <c r="V11" s="205">
        <f>'PAX PVE TL+NI'!D8</f>
        <v>7672</v>
      </c>
      <c r="W11" s="205">
        <f>'PAX PVE TL+NI'!E8</f>
        <v>7670</v>
      </c>
      <c r="Y11" s="171" t="str">
        <f>'PAX PRO TL'!A8</f>
        <v>juin</v>
      </c>
      <c r="Z11" s="205">
        <f>'PAX PRO TL'!B8</f>
        <v>0</v>
      </c>
      <c r="AA11" s="205">
        <f>'PAX PRO TL'!C8</f>
        <v>0</v>
      </c>
      <c r="AB11" s="205">
        <f>'PAX PRO TL'!D8</f>
        <v>0</v>
      </c>
      <c r="AC11" s="205">
        <f>'PAX PRO TL'!E8</f>
        <v>0</v>
      </c>
    </row>
    <row r="12" spans="1:29" x14ac:dyDescent="0.25">
      <c r="A12" s="171" t="str">
        <f>'PAX AJA TL+NI'!A9</f>
        <v>juil</v>
      </c>
      <c r="B12" s="205">
        <f>'PAX AJA TL+NI'!B9</f>
        <v>241539</v>
      </c>
      <c r="C12" s="205">
        <f>'PAX AJA TL+NI'!C9</f>
        <v>231733</v>
      </c>
      <c r="D12" s="205">
        <f>'PAX AJA TL+NI'!D9</f>
        <v>243424</v>
      </c>
      <c r="E12" s="205">
        <f>'PAX AJA TL+NI'!E9</f>
        <v>260800</v>
      </c>
      <c r="G12" s="171" t="str">
        <f>'PAX BAS TL+NI'!A9</f>
        <v>juil</v>
      </c>
      <c r="H12" s="205">
        <f>'PAX BAS TL+NI'!B9</f>
        <v>120502</v>
      </c>
      <c r="I12" s="205">
        <f>'PAX BAS TL+NI'!C9</f>
        <v>118608</v>
      </c>
      <c r="J12" s="205">
        <f>'PAX BAS TL+NI'!D9</f>
        <v>136843</v>
      </c>
      <c r="K12" s="205">
        <f>'PAX BAS TL+NI'!E9</f>
        <v>153966</v>
      </c>
      <c r="M12" s="171" t="str">
        <f>'PAX ILR TL+NI'!A9</f>
        <v>juil</v>
      </c>
      <c r="N12" s="205">
        <f>'PAX ILR TL+NI'!B9</f>
        <v>104984</v>
      </c>
      <c r="O12" s="205">
        <f>'PAX ILR TL+NI'!C9</f>
        <v>108457</v>
      </c>
      <c r="P12" s="205">
        <f>'PAX ILR TL+NI'!D9</f>
        <v>102694</v>
      </c>
      <c r="Q12" s="205">
        <f>'PAX ILR TL+NI'!E9</f>
        <v>92415</v>
      </c>
      <c r="S12" s="171" t="str">
        <f>'PAX PVE TL+NI'!A9</f>
        <v>juil</v>
      </c>
      <c r="T12" s="205">
        <f>'PAX PVE TL+NI'!B9</f>
        <v>0</v>
      </c>
      <c r="U12" s="205">
        <f>'PAX PVE TL+NI'!C9</f>
        <v>0</v>
      </c>
      <c r="V12" s="205">
        <f>'PAX PVE TL+NI'!D9</f>
        <v>1955</v>
      </c>
      <c r="W12" s="205">
        <f>'PAX PVE TL+NI'!E9</f>
        <v>9582</v>
      </c>
      <c r="Y12" s="171" t="str">
        <f>'PAX PRO TL'!A9</f>
        <v>juil</v>
      </c>
      <c r="Z12" s="205">
        <f>'PAX PRO TL'!B9</f>
        <v>0</v>
      </c>
      <c r="AA12" s="205">
        <f>'PAX PRO TL'!C9</f>
        <v>0</v>
      </c>
      <c r="AB12" s="205">
        <f>'PAX PRO TL'!D9</f>
        <v>0</v>
      </c>
      <c r="AC12" s="205">
        <f>'PAX PRO TL'!E9</f>
        <v>0</v>
      </c>
    </row>
    <row r="13" spans="1:29" x14ac:dyDescent="0.25">
      <c r="A13" s="171" t="str">
        <f>'PAX AJA TL+NI'!A10</f>
        <v>aou</v>
      </c>
      <c r="B13" s="205">
        <f>'PAX AJA TL+NI'!B10</f>
        <v>235315</v>
      </c>
      <c r="C13" s="205">
        <f>'PAX AJA TL+NI'!C10</f>
        <v>239268</v>
      </c>
      <c r="D13" s="205">
        <f>'PAX AJA TL+NI'!D10</f>
        <v>256419</v>
      </c>
      <c r="E13" s="205">
        <f>'PAX AJA TL+NI'!E10</f>
        <v>257170</v>
      </c>
      <c r="G13" s="171" t="str">
        <f>'PAX BAS TL+NI'!A10</f>
        <v>aou</v>
      </c>
      <c r="H13" s="205">
        <f>'PAX BAS TL+NI'!B10</f>
        <v>116669</v>
      </c>
      <c r="I13" s="205">
        <f>'PAX BAS TL+NI'!C10</f>
        <v>124608</v>
      </c>
      <c r="J13" s="205">
        <f>'PAX BAS TL+NI'!D10</f>
        <v>127365</v>
      </c>
      <c r="K13" s="205">
        <f>'PAX BAS TL+NI'!E10</f>
        <v>161523</v>
      </c>
      <c r="M13" s="171" t="str">
        <f>'PAX ILR TL+NI'!A10</f>
        <v>aou</v>
      </c>
      <c r="N13" s="205">
        <f>'PAX ILR TL+NI'!B10</f>
        <v>104882</v>
      </c>
      <c r="O13" s="205">
        <f>'PAX ILR TL+NI'!C10</f>
        <v>132432</v>
      </c>
      <c r="P13" s="205">
        <f>'PAX ILR TL+NI'!D10</f>
        <v>103890</v>
      </c>
      <c r="Q13" s="205">
        <f>'PAX ILR TL+NI'!E10</f>
        <v>97282</v>
      </c>
      <c r="S13" s="171" t="str">
        <f>'PAX PVE TL+NI'!A10</f>
        <v>aou</v>
      </c>
      <c r="T13" s="205">
        <f>'PAX PVE TL+NI'!B10</f>
        <v>0</v>
      </c>
      <c r="U13" s="205">
        <f>'PAX PVE TL+NI'!C10</f>
        <v>0</v>
      </c>
      <c r="V13" s="205">
        <f>'PAX PVE TL+NI'!D10</f>
        <v>9455</v>
      </c>
      <c r="W13" s="205">
        <f>'PAX PVE TL+NI'!E10</f>
        <v>7500</v>
      </c>
      <c r="Y13" s="171" t="str">
        <f>'PAX PRO TL'!A10</f>
        <v>aou</v>
      </c>
      <c r="Z13" s="205">
        <f>'PAX PRO TL'!B10</f>
        <v>0</v>
      </c>
      <c r="AA13" s="205">
        <f>'PAX PRO TL'!C10</f>
        <v>0</v>
      </c>
      <c r="AB13" s="205">
        <f>'PAX PRO TL'!D10</f>
        <v>0</v>
      </c>
      <c r="AC13" s="205">
        <f>'PAX PRO TL'!E10</f>
        <v>0</v>
      </c>
    </row>
    <row r="14" spans="1:29" x14ac:dyDescent="0.25">
      <c r="A14" s="171" t="str">
        <f>'PAX AJA TL+NI'!A11</f>
        <v>sep</v>
      </c>
      <c r="B14" s="205">
        <f>'PAX AJA TL+NI'!B11</f>
        <v>201982</v>
      </c>
      <c r="C14" s="205">
        <f>'PAX AJA TL+NI'!C11</f>
        <v>218181</v>
      </c>
      <c r="D14" s="205">
        <f>'PAX AJA TL+NI'!D11</f>
        <v>216664</v>
      </c>
      <c r="E14" s="205">
        <f>'PAX AJA TL+NI'!E11</f>
        <v>200255</v>
      </c>
      <c r="G14" s="171" t="str">
        <f>'PAX BAS TL+NI'!A11</f>
        <v>sep</v>
      </c>
      <c r="H14" s="205">
        <f>'PAX BAS TL+NI'!B11</f>
        <v>114999</v>
      </c>
      <c r="I14" s="205">
        <f>'PAX BAS TL+NI'!C11</f>
        <v>119284</v>
      </c>
      <c r="J14" s="205">
        <f>'PAX BAS TL+NI'!D11</f>
        <v>136992</v>
      </c>
      <c r="K14" s="205">
        <f>'PAX BAS TL+NI'!E11</f>
        <v>158615</v>
      </c>
      <c r="M14" s="171" t="str">
        <f>'PAX ILR TL+NI'!A11</f>
        <v>sep</v>
      </c>
      <c r="N14" s="205">
        <f>'PAX ILR TL+NI'!B11</f>
        <v>30819</v>
      </c>
      <c r="O14" s="205">
        <f>'PAX ILR TL+NI'!C11</f>
        <v>30937</v>
      </c>
      <c r="P14" s="205">
        <f>'PAX ILR TL+NI'!D11</f>
        <v>56352</v>
      </c>
      <c r="Q14" s="205">
        <f>'PAX ILR TL+NI'!E11</f>
        <v>48584</v>
      </c>
      <c r="S14" s="171" t="str">
        <f>'PAX PVE TL+NI'!A11</f>
        <v>sep</v>
      </c>
      <c r="T14" s="205">
        <f>'PAX PVE TL+NI'!B11</f>
        <v>0</v>
      </c>
      <c r="U14" s="205">
        <f>'PAX PVE TL+NI'!C11</f>
        <v>0</v>
      </c>
      <c r="V14" s="205">
        <f>'PAX PVE TL+NI'!D11</f>
        <v>5731</v>
      </c>
      <c r="W14" s="205">
        <f>'PAX PVE TL+NI'!E11</f>
        <v>7670</v>
      </c>
      <c r="Y14" s="171" t="str">
        <f>'PAX PRO TL'!A11</f>
        <v>sep</v>
      </c>
      <c r="Z14" s="205">
        <f>'PAX PRO TL'!B11</f>
        <v>0</v>
      </c>
      <c r="AA14" s="205">
        <f>'PAX PRO TL'!C11</f>
        <v>0</v>
      </c>
      <c r="AB14" s="205">
        <f>'PAX PRO TL'!D11</f>
        <v>0</v>
      </c>
      <c r="AC14" s="205">
        <f>'PAX PRO TL'!E11</f>
        <v>0</v>
      </c>
    </row>
    <row r="15" spans="1:29" x14ac:dyDescent="0.25">
      <c r="A15" s="171" t="str">
        <f>'PAX AJA TL+NI'!A12</f>
        <v>oct</v>
      </c>
      <c r="B15" s="205">
        <f>'PAX AJA TL+NI'!B12</f>
        <v>152368</v>
      </c>
      <c r="C15" s="205">
        <f>'PAX AJA TL+NI'!C12</f>
        <v>162088</v>
      </c>
      <c r="D15" s="205">
        <f>'PAX AJA TL+NI'!D12</f>
        <v>161415</v>
      </c>
      <c r="E15" s="205">
        <f>'PAX AJA TL+NI'!E12</f>
        <v>167485</v>
      </c>
      <c r="G15" s="171" t="str">
        <f>'PAX BAS TL+NI'!A12</f>
        <v>oct</v>
      </c>
      <c r="H15" s="205">
        <f>'PAX BAS TL+NI'!B12</f>
        <v>121506</v>
      </c>
      <c r="I15" s="205">
        <f>'PAX BAS TL+NI'!C12</f>
        <v>143354</v>
      </c>
      <c r="J15" s="205">
        <f>'PAX BAS TL+NI'!D12</f>
        <v>128002</v>
      </c>
      <c r="K15" s="205">
        <f>'PAX BAS TL+NI'!E12</f>
        <v>147763</v>
      </c>
      <c r="M15" s="171" t="str">
        <f>'PAX ILR TL+NI'!A12</f>
        <v>oct</v>
      </c>
      <c r="N15" s="205">
        <f>'PAX ILR TL+NI'!B12</f>
        <v>5912</v>
      </c>
      <c r="O15" s="205">
        <f>'PAX ILR TL+NI'!C12</f>
        <v>3792</v>
      </c>
      <c r="P15" s="205">
        <f>'PAX ILR TL+NI'!D12</f>
        <v>17640</v>
      </c>
      <c r="Q15" s="205">
        <f>'PAX ILR TL+NI'!E12</f>
        <v>15820</v>
      </c>
      <c r="S15" s="171" t="str">
        <f>'PAX PVE TL+NI'!A12</f>
        <v>oct</v>
      </c>
      <c r="T15" s="205">
        <f>'PAX PVE TL+NI'!B12</f>
        <v>0</v>
      </c>
      <c r="U15" s="205">
        <f>'PAX PVE TL+NI'!C12</f>
        <v>0</v>
      </c>
      <c r="V15" s="205">
        <f>'PAX PVE TL+NI'!D12</f>
        <v>42292</v>
      </c>
      <c r="W15" s="205">
        <f>'PAX PVE TL+NI'!E12</f>
        <v>5865</v>
      </c>
      <c r="Y15" s="171" t="str">
        <f>'PAX PRO TL'!A12</f>
        <v>oct</v>
      </c>
      <c r="Z15" s="205">
        <f>'PAX PRO TL'!B12</f>
        <v>0</v>
      </c>
      <c r="AA15" s="205">
        <f>'PAX PRO TL'!C12</f>
        <v>0</v>
      </c>
      <c r="AB15" s="205">
        <f>'PAX PRO TL'!D12</f>
        <v>0</v>
      </c>
      <c r="AC15" s="205">
        <f>'PAX PRO TL'!E12</f>
        <v>0</v>
      </c>
    </row>
    <row r="16" spans="1:29" x14ac:dyDescent="0.25">
      <c r="A16" s="171" t="str">
        <f>'PAX AJA TL+NI'!A13</f>
        <v>nov</v>
      </c>
      <c r="B16" s="205">
        <f>'PAX AJA TL+NI'!B13</f>
        <v>125950</v>
      </c>
      <c r="C16" s="205">
        <f>'PAX AJA TL+NI'!C13</f>
        <v>121981</v>
      </c>
      <c r="D16" s="205">
        <f>'PAX AJA TL+NI'!D13</f>
        <v>128825</v>
      </c>
      <c r="E16" s="205">
        <f>'PAX AJA TL+NI'!E13</f>
        <v>0</v>
      </c>
      <c r="G16" s="171" t="str">
        <f>'PAX BAS TL+NI'!A13</f>
        <v>nov</v>
      </c>
      <c r="H16" s="205">
        <f>'PAX BAS TL+NI'!B13</f>
        <v>117860</v>
      </c>
      <c r="I16" s="205">
        <f>'PAX BAS TL+NI'!C13</f>
        <v>118995</v>
      </c>
      <c r="J16" s="205">
        <f>'PAX BAS TL+NI'!D13</f>
        <v>114710</v>
      </c>
      <c r="K16" s="205">
        <f>'PAX BAS TL+NI'!E13</f>
        <v>0</v>
      </c>
      <c r="M16" s="171" t="str">
        <f>'PAX ILR TL+NI'!A13</f>
        <v>nov</v>
      </c>
      <c r="N16" s="205">
        <f>'PAX ILR TL+NI'!B13</f>
        <v>8032</v>
      </c>
      <c r="O16" s="205">
        <f>'PAX ILR TL+NI'!C13</f>
        <v>0</v>
      </c>
      <c r="P16" s="205">
        <f>'PAX ILR TL+NI'!D13</f>
        <v>0</v>
      </c>
      <c r="Q16" s="205">
        <f>'PAX ILR TL+NI'!E13</f>
        <v>0</v>
      </c>
      <c r="S16" s="171" t="str">
        <f>'PAX PVE TL+NI'!A13</f>
        <v>nov</v>
      </c>
      <c r="T16" s="205">
        <f>'PAX PVE TL+NI'!B13</f>
        <v>0</v>
      </c>
      <c r="U16" s="205">
        <f>'PAX PVE TL+NI'!C13</f>
        <v>0</v>
      </c>
      <c r="V16" s="205">
        <f>'PAX PVE TL+NI'!D13</f>
        <v>1880</v>
      </c>
      <c r="W16" s="205">
        <f>'PAX PVE TL+NI'!E13</f>
        <v>0</v>
      </c>
      <c r="Y16" s="171" t="str">
        <f>'PAX PRO TL'!A13</f>
        <v>nov</v>
      </c>
      <c r="Z16" s="205">
        <f>'PAX PRO TL'!B13</f>
        <v>0</v>
      </c>
      <c r="AA16" s="205">
        <f>'PAX PRO TL'!C13</f>
        <v>0</v>
      </c>
      <c r="AB16" s="205">
        <f>'PAX PRO TL'!D13</f>
        <v>0</v>
      </c>
      <c r="AC16" s="205">
        <f>'PAX PRO TL'!E13</f>
        <v>0</v>
      </c>
    </row>
    <row r="17" spans="1:29" x14ac:dyDescent="0.25">
      <c r="A17" s="171" t="str">
        <f>'PAX AJA TL+NI'!A14</f>
        <v>déc</v>
      </c>
      <c r="B17" s="205">
        <f>'PAX AJA TL+NI'!B14</f>
        <v>126921</v>
      </c>
      <c r="C17" s="205">
        <f>'PAX AJA TL+NI'!C14</f>
        <v>138553</v>
      </c>
      <c r="D17" s="205">
        <f>'PAX AJA TL+NI'!D14</f>
        <v>128434</v>
      </c>
      <c r="E17" s="205">
        <f>'PAX AJA TL+NI'!E14</f>
        <v>0</v>
      </c>
      <c r="G17" s="171" t="str">
        <f>'PAX BAS TL+NI'!A14</f>
        <v>déc</v>
      </c>
      <c r="H17" s="205">
        <f>'PAX BAS TL+NI'!B14</f>
        <v>127635</v>
      </c>
      <c r="I17" s="205">
        <f>'PAX BAS TL+NI'!C14</f>
        <v>125798</v>
      </c>
      <c r="J17" s="205">
        <f>'PAX BAS TL+NI'!D14</f>
        <v>121479</v>
      </c>
      <c r="K17" s="205">
        <f>'PAX BAS TL+NI'!E14</f>
        <v>0</v>
      </c>
      <c r="M17" s="171" t="str">
        <f>'PAX ILR TL+NI'!A14</f>
        <v>déc</v>
      </c>
      <c r="N17" s="205">
        <f>'PAX ILR TL+NI'!B14</f>
        <v>4240</v>
      </c>
      <c r="O17" s="205">
        <f>'PAX ILR TL+NI'!C14</f>
        <v>0</v>
      </c>
      <c r="P17" s="205">
        <f>'PAX ILR TL+NI'!D14</f>
        <v>7820</v>
      </c>
      <c r="Q17" s="205">
        <f>'PAX ILR TL+NI'!E14</f>
        <v>0</v>
      </c>
      <c r="S17" s="171" t="str">
        <f>'PAX PVE TL+NI'!A14</f>
        <v>déc</v>
      </c>
      <c r="T17" s="205">
        <f>'PAX PVE TL+NI'!B14</f>
        <v>0</v>
      </c>
      <c r="U17" s="205">
        <f>'PAX PVE TL+NI'!C14</f>
        <v>0</v>
      </c>
      <c r="V17" s="205">
        <f>'PAX PVE TL+NI'!D14</f>
        <v>21505</v>
      </c>
      <c r="W17" s="205">
        <f>'PAX PVE TL+NI'!E14</f>
        <v>0</v>
      </c>
      <c r="Y17" s="171" t="str">
        <f>'PAX PRO TL'!A14</f>
        <v>déc</v>
      </c>
      <c r="Z17" s="205">
        <f>'PAX PRO TL'!B14</f>
        <v>0</v>
      </c>
      <c r="AA17" s="205">
        <f>'PAX PRO TL'!C14</f>
        <v>0</v>
      </c>
      <c r="AB17" s="205">
        <f>'PAX PRO TL'!D14</f>
        <v>0</v>
      </c>
      <c r="AC17" s="205">
        <f>'PAX PRO TL'!E14</f>
        <v>0</v>
      </c>
    </row>
    <row r="18" spans="1:29" x14ac:dyDescent="0.25">
      <c r="A18" s="198" t="str">
        <f>'PAX AJA TL+NI'!A15</f>
        <v>TOTAL</v>
      </c>
      <c r="B18" s="205">
        <f>'PAX AJA TL+NI'!B15</f>
        <v>2058429</v>
      </c>
      <c r="C18" s="205">
        <f>'PAX AJA TL+NI'!C15</f>
        <v>2073366</v>
      </c>
      <c r="D18" s="205">
        <f>'PAX AJA TL+NI'!D15</f>
        <v>2109510</v>
      </c>
      <c r="E18" s="205">
        <f>'PAX AJA TL+NI'!E15</f>
        <v>1813729</v>
      </c>
      <c r="G18" s="171" t="str">
        <f>'PAX BAS TL+NI'!A15</f>
        <v>TOTAL</v>
      </c>
      <c r="H18" s="205">
        <f>'PAX BAS TL+NI'!B15</f>
        <v>1461466</v>
      </c>
      <c r="I18" s="205">
        <f>'PAX BAS TL+NI'!C15</f>
        <v>1485208</v>
      </c>
      <c r="J18" s="205">
        <f>'PAX BAS TL+NI'!D15</f>
        <v>1547984</v>
      </c>
      <c r="K18" s="205">
        <f>'PAX BAS TL+NI'!E15</f>
        <v>1385057</v>
      </c>
      <c r="M18" s="171" t="str">
        <f>'PAX ILR TL+NI'!A15</f>
        <v>TOTAL</v>
      </c>
      <c r="N18" s="205">
        <f>'PAX ILR TL+NI'!B15</f>
        <v>349138</v>
      </c>
      <c r="O18" s="205">
        <f>'PAX ILR TL+NI'!C15</f>
        <v>370958</v>
      </c>
      <c r="P18" s="205">
        <f>'PAX ILR TL+NI'!D15</f>
        <v>406739</v>
      </c>
      <c r="Q18" s="205">
        <f>'PAX ILR TL+NI'!E15</f>
        <v>374728</v>
      </c>
      <c r="S18" s="171" t="str">
        <f>'PAX PVE TL+NI'!A15</f>
        <v>TOTAL</v>
      </c>
      <c r="T18" s="205">
        <f>'PAX PVE TL+NI'!B15</f>
        <v>1060</v>
      </c>
      <c r="U18" s="205">
        <f>'PAX PVE TL+NI'!C15</f>
        <v>0</v>
      </c>
      <c r="V18" s="205">
        <f>'PAX PVE TL+NI'!D15</f>
        <v>92386</v>
      </c>
      <c r="W18" s="205">
        <f>'PAX PVE TL+NI'!E15</f>
        <v>50048</v>
      </c>
      <c r="Y18" s="171" t="str">
        <f>'PAX PRO TL'!A15</f>
        <v>TOTAL</v>
      </c>
      <c r="Z18" s="205">
        <f>'PAX PRO TL'!B15</f>
        <v>0</v>
      </c>
      <c r="AA18" s="205">
        <f>'PAX PRO TL'!C15</f>
        <v>0</v>
      </c>
      <c r="AB18" s="205">
        <f>'PAX PRO TL'!D15</f>
        <v>0</v>
      </c>
      <c r="AC18" s="205">
        <f>'PAX PRO TL'!E15</f>
        <v>0</v>
      </c>
    </row>
    <row r="19" spans="1:29" x14ac:dyDescent="0.25">
      <c r="A19" s="32" t="str">
        <f>'PAX AJA TL+NI'!A16</f>
        <v>Source :  Capitainerie Port de Toulon</v>
      </c>
      <c r="B19" s="194"/>
      <c r="C19" s="194"/>
      <c r="D19" s="194"/>
      <c r="E19" s="195"/>
      <c r="G19" s="32" t="str">
        <f>'PAX BAS TL+NI'!A16</f>
        <v>Source :  Capitainerie Port de Toulon</v>
      </c>
      <c r="H19" s="194"/>
      <c r="I19" s="194"/>
      <c r="J19" s="194"/>
      <c r="K19" s="195"/>
      <c r="M19" s="32" t="str">
        <f>'PAX ILR TL+NI'!A16</f>
        <v>Source :  Capitainerie Port de Toulon</v>
      </c>
      <c r="N19" s="194"/>
      <c r="O19" s="194"/>
      <c r="P19" s="194"/>
      <c r="Q19" s="195"/>
      <c r="S19" s="32" t="str">
        <f>'PAX PVE TL+NI'!A16</f>
        <v>Source :  Capitainerie Port de Toulon</v>
      </c>
      <c r="T19" s="194"/>
      <c r="U19" s="194"/>
      <c r="V19" s="194"/>
      <c r="W19" s="195"/>
      <c r="Y19" s="32" t="str">
        <f>'PAX PRO TL'!A16</f>
        <v>Source : Capitainerie Port Toulon</v>
      </c>
      <c r="Z19" s="194"/>
      <c r="AA19" s="194"/>
      <c r="AB19" s="194"/>
      <c r="AC19" s="195"/>
    </row>
    <row r="21" spans="1:29" x14ac:dyDescent="0.25">
      <c r="A21" s="193" t="str">
        <f>'PAX AJA TL+NI'!A104</f>
        <v>CAPACITE PAX AJACCIO NICE</v>
      </c>
      <c r="B21" s="194"/>
      <c r="C21" s="194"/>
      <c r="D21" s="194"/>
      <c r="E21" s="195"/>
      <c r="G21" s="193" t="str">
        <f>'PAX BAS TL+NI'!A104</f>
        <v>CAPACITE PAX BASTIA NICE</v>
      </c>
      <c r="H21" s="194"/>
      <c r="I21" s="194"/>
      <c r="J21" s="194"/>
      <c r="K21" s="195"/>
      <c r="M21" s="193" t="str">
        <f>'PAX ILR TL+NI'!A104</f>
        <v>CAPACITE PAX ILE ROUSSE NICE</v>
      </c>
      <c r="N21" s="194"/>
      <c r="O21" s="194"/>
      <c r="P21" s="194"/>
      <c r="Q21" s="195"/>
      <c r="S21" s="193" t="str">
        <f>'PAX PVE TL+NI'!A104</f>
        <v>CAPACITE PAX PORTO VECCHIO NICE</v>
      </c>
      <c r="T21" s="194"/>
      <c r="U21" s="194"/>
      <c r="V21" s="194"/>
      <c r="W21" s="195"/>
    </row>
    <row r="22" spans="1:29" x14ac:dyDescent="0.25">
      <c r="A22" s="192"/>
      <c r="B22" s="20">
        <f>'PAX AJA TL+NI'!B105</f>
        <v>2014</v>
      </c>
      <c r="C22" s="20">
        <f>'PAX AJA TL+NI'!C105</f>
        <v>2015</v>
      </c>
      <c r="D22" s="20">
        <f>'PAX AJA TL+NI'!D105</f>
        <v>2016</v>
      </c>
      <c r="E22" s="20">
        <f>'PAX AJA TL+NI'!E105</f>
        <v>2017</v>
      </c>
      <c r="G22" s="118"/>
      <c r="H22" s="20">
        <f>'PAX BAS TL+NI'!B105</f>
        <v>2014</v>
      </c>
      <c r="I22" s="20">
        <f>'PAX BAS TL+NI'!C105</f>
        <v>2015</v>
      </c>
      <c r="J22" s="20">
        <f>'PAX BAS TL+NI'!D105</f>
        <v>2016</v>
      </c>
      <c r="K22" s="20">
        <f>'PAX BAS TL+NI'!E105</f>
        <v>2017</v>
      </c>
      <c r="M22" s="118"/>
      <c r="N22" s="20">
        <f>'PAX ILR TL+NI'!B105</f>
        <v>2014</v>
      </c>
      <c r="O22" s="20">
        <f>'PAX ILR TL+NI'!C105</f>
        <v>2015</v>
      </c>
      <c r="P22" s="20">
        <f>'PAX ILR TL+NI'!D105</f>
        <v>2016</v>
      </c>
      <c r="Q22" s="20">
        <f>'PAX ILR TL+NI'!E105</f>
        <v>2017</v>
      </c>
      <c r="S22" s="118"/>
      <c r="T22" s="20">
        <f>'PAX PVE TL+NI'!B105</f>
        <v>2014</v>
      </c>
      <c r="U22" s="20">
        <f>'PAX PVE TL+NI'!C105</f>
        <v>2015</v>
      </c>
      <c r="V22" s="20">
        <f>'PAX PVE TL+NI'!D105</f>
        <v>2016</v>
      </c>
      <c r="W22" s="20">
        <f>'PAX PVE TL+NI'!E105</f>
        <v>2017</v>
      </c>
    </row>
    <row r="23" spans="1:29" x14ac:dyDescent="0.25">
      <c r="A23" s="171" t="str">
        <f>'PAX AJA TL+NI'!A106</f>
        <v>jan</v>
      </c>
      <c r="B23" s="205">
        <f>'PAX AJA TL+NI'!B106</f>
        <v>19949</v>
      </c>
      <c r="C23" s="205">
        <f>'PAX AJA TL+NI'!C106</f>
        <v>3996</v>
      </c>
      <c r="D23" s="205">
        <f>'PAX AJA TL+NI'!D106</f>
        <v>20190</v>
      </c>
      <c r="E23" s="205">
        <f>'PAX AJA TL+NI'!E106</f>
        <v>14711.666666666666</v>
      </c>
      <c r="G23" s="171" t="str">
        <f>'PAX BAS TL+NI'!A106</f>
        <v>jan</v>
      </c>
      <c r="H23" s="205">
        <f>'PAX BAS TL+NI'!B106</f>
        <v>37188</v>
      </c>
      <c r="I23" s="205">
        <f>'PAX BAS TL+NI'!C106</f>
        <v>42472</v>
      </c>
      <c r="J23" s="205">
        <f>'PAX BAS TL+NI'!D106</f>
        <v>53913</v>
      </c>
      <c r="K23" s="205">
        <f>'PAX BAS TL+NI'!E106</f>
        <v>44524.333333333336</v>
      </c>
      <c r="M23" s="171" t="str">
        <f>'PAX ILR TL+NI'!A106</f>
        <v>jan</v>
      </c>
      <c r="N23" s="205">
        <f>'PAX ILR TL+NI'!B106</f>
        <v>3048</v>
      </c>
      <c r="O23" s="205">
        <f>'PAX ILR TL+NI'!C106</f>
        <v>3124</v>
      </c>
      <c r="P23" s="205">
        <f>'PAX ILR TL+NI'!D106</f>
        <v>15578</v>
      </c>
      <c r="Q23" s="205">
        <f>'PAX ILR TL+NI'!E106</f>
        <v>7250</v>
      </c>
      <c r="S23" s="171" t="str">
        <f>'PAX PVE TL+NI'!A106</f>
        <v>jan</v>
      </c>
      <c r="T23" s="205">
        <f>'PAX PVE TL+NI'!B106</f>
        <v>0</v>
      </c>
      <c r="U23" s="205">
        <f>'PAX PVE TL+NI'!C106</f>
        <v>0</v>
      </c>
      <c r="V23" s="205">
        <f>'PAX PVE TL+NI'!D106</f>
        <v>0</v>
      </c>
      <c r="W23" s="205">
        <f>'PAX PVE TL+NI'!E106</f>
        <v>0</v>
      </c>
    </row>
    <row r="24" spans="1:29" x14ac:dyDescent="0.25">
      <c r="A24" s="171" t="str">
        <f>'PAX AJA TL+NI'!A107</f>
        <v>fév</v>
      </c>
      <c r="B24" s="205">
        <f>'PAX AJA TL+NI'!B107</f>
        <v>21714</v>
      </c>
      <c r="C24" s="205">
        <f>'PAX AJA TL+NI'!C107</f>
        <v>4000</v>
      </c>
      <c r="D24" s="205">
        <f>'PAX AJA TL+NI'!D107</f>
        <v>7722</v>
      </c>
      <c r="E24" s="205">
        <f>'PAX AJA TL+NI'!E107</f>
        <v>11145.333333333334</v>
      </c>
      <c r="G24" s="171" t="str">
        <f>'PAX BAS TL+NI'!A107</f>
        <v>fév</v>
      </c>
      <c r="H24" s="205">
        <f>'PAX BAS TL+NI'!B107</f>
        <v>36508</v>
      </c>
      <c r="I24" s="205">
        <f>'PAX BAS TL+NI'!C107</f>
        <v>34508</v>
      </c>
      <c r="J24" s="205">
        <f>'PAX BAS TL+NI'!D107</f>
        <v>39250</v>
      </c>
      <c r="K24" s="205">
        <f>'PAX BAS TL+NI'!E107</f>
        <v>36755.333333333336</v>
      </c>
      <c r="M24" s="171" t="str">
        <f>'PAX ILR TL+NI'!A107</f>
        <v>fév</v>
      </c>
      <c r="N24" s="205">
        <f>'PAX ILR TL+NI'!B107</f>
        <v>8316</v>
      </c>
      <c r="O24" s="205">
        <f>'PAX ILR TL+NI'!C107</f>
        <v>4064</v>
      </c>
      <c r="P24" s="205">
        <f>'PAX ILR TL+NI'!D107</f>
        <v>4500</v>
      </c>
      <c r="Q24" s="205">
        <f>'PAX ILR TL+NI'!E107</f>
        <v>5626.666666666667</v>
      </c>
      <c r="S24" s="171" t="str">
        <f>'PAX PVE TL+NI'!A107</f>
        <v>fév</v>
      </c>
      <c r="T24" s="205">
        <f>'PAX PVE TL+NI'!B107</f>
        <v>0</v>
      </c>
      <c r="U24" s="205">
        <f>'PAX PVE TL+NI'!C107</f>
        <v>0</v>
      </c>
      <c r="V24" s="205">
        <f>'PAX PVE TL+NI'!D107</f>
        <v>0</v>
      </c>
      <c r="W24" s="205">
        <f>'PAX PVE TL+NI'!E107</f>
        <v>0</v>
      </c>
    </row>
    <row r="25" spans="1:29" x14ac:dyDescent="0.25">
      <c r="A25" s="171" t="str">
        <f>'PAX AJA TL+NI'!A108</f>
        <v>mar</v>
      </c>
      <c r="B25" s="205">
        <f>'PAX AJA TL+NI'!B108</f>
        <v>25502</v>
      </c>
      <c r="C25" s="205">
        <f>'PAX AJA TL+NI'!C108</f>
        <v>0</v>
      </c>
      <c r="D25" s="205">
        <f>'PAX AJA TL+NI'!D108</f>
        <v>12192</v>
      </c>
      <c r="E25" s="205">
        <f>'PAX AJA TL+NI'!E108</f>
        <v>12564.666666666666</v>
      </c>
      <c r="G25" s="171" t="str">
        <f>'PAX BAS TL+NI'!A108</f>
        <v>mar</v>
      </c>
      <c r="H25" s="205">
        <f>'PAX BAS TL+NI'!B108</f>
        <v>39940</v>
      </c>
      <c r="I25" s="205">
        <f>'PAX BAS TL+NI'!C108</f>
        <v>38024</v>
      </c>
      <c r="J25" s="205">
        <f>'PAX BAS TL+NI'!D108</f>
        <v>49680</v>
      </c>
      <c r="K25" s="205">
        <f>'PAX BAS TL+NI'!E108</f>
        <v>42548</v>
      </c>
      <c r="M25" s="171" t="str">
        <f>'PAX ILR TL+NI'!A108</f>
        <v>mar</v>
      </c>
      <c r="N25" s="205">
        <f>'PAX ILR TL+NI'!B108</f>
        <v>3048</v>
      </c>
      <c r="O25" s="205">
        <f>'PAX ILR TL+NI'!C108</f>
        <v>7112</v>
      </c>
      <c r="P25" s="205">
        <f>'PAX ILR TL+NI'!D108</f>
        <v>5968</v>
      </c>
      <c r="Q25" s="205">
        <f>'PAX ILR TL+NI'!E108</f>
        <v>5376</v>
      </c>
      <c r="S25" s="171" t="str">
        <f>'PAX PVE TL+NI'!A108</f>
        <v>mar</v>
      </c>
      <c r="T25" s="205">
        <f>'PAX PVE TL+NI'!B108</f>
        <v>0</v>
      </c>
      <c r="U25" s="205">
        <f>'PAX PVE TL+NI'!C108</f>
        <v>0</v>
      </c>
      <c r="V25" s="205">
        <f>'PAX PVE TL+NI'!D108</f>
        <v>0</v>
      </c>
      <c r="W25" s="205">
        <f>'PAX PVE TL+NI'!E108</f>
        <v>0</v>
      </c>
    </row>
    <row r="26" spans="1:29" x14ac:dyDescent="0.25">
      <c r="A26" s="171" t="str">
        <f>'PAX AJA TL+NI'!A109</f>
        <v>avr</v>
      </c>
      <c r="B26" s="205">
        <f>'PAX AJA TL+NI'!B109</f>
        <v>15714</v>
      </c>
      <c r="C26" s="205">
        <f>'PAX AJA TL+NI'!C109</f>
        <v>4200</v>
      </c>
      <c r="D26" s="205">
        <f>'PAX AJA TL+NI'!D109</f>
        <v>23976</v>
      </c>
      <c r="E26" s="205">
        <f>'PAX AJA TL+NI'!E109</f>
        <v>14630</v>
      </c>
      <c r="G26" s="171" t="str">
        <f>'PAX BAS TL+NI'!A109</f>
        <v>avr</v>
      </c>
      <c r="H26" s="205">
        <f>'PAX BAS TL+NI'!B109</f>
        <v>61978</v>
      </c>
      <c r="I26" s="205">
        <f>'PAX BAS TL+NI'!C109</f>
        <v>76729</v>
      </c>
      <c r="J26" s="205">
        <f>'PAX BAS TL+NI'!D109</f>
        <v>102800</v>
      </c>
      <c r="K26" s="205">
        <f>'PAX BAS TL+NI'!E109</f>
        <v>80502.333333333328</v>
      </c>
      <c r="M26" s="171" t="str">
        <f>'PAX ILR TL+NI'!A109</f>
        <v>avr</v>
      </c>
      <c r="N26" s="205">
        <f>'PAX ILR TL+NI'!B109</f>
        <v>11636</v>
      </c>
      <c r="O26" s="205">
        <f>'PAX ILR TL+NI'!C109</f>
        <v>0</v>
      </c>
      <c r="P26" s="205">
        <f>'PAX ILR TL+NI'!D109</f>
        <v>1896</v>
      </c>
      <c r="Q26" s="205">
        <f>'PAX ILR TL+NI'!E109</f>
        <v>4510.666666666667</v>
      </c>
      <c r="S26" s="171" t="str">
        <f>'PAX PVE TL+NI'!A109</f>
        <v>avr</v>
      </c>
      <c r="T26" s="205">
        <f>'PAX PVE TL+NI'!B109</f>
        <v>0</v>
      </c>
      <c r="U26" s="205">
        <f>'PAX PVE TL+NI'!C109</f>
        <v>0</v>
      </c>
      <c r="V26" s="205">
        <f>'PAX PVE TL+NI'!D109</f>
        <v>0</v>
      </c>
      <c r="W26" s="205">
        <f>'PAX PVE TL+NI'!E109</f>
        <v>0</v>
      </c>
    </row>
    <row r="27" spans="1:29" x14ac:dyDescent="0.25">
      <c r="A27" s="171" t="str">
        <f>'PAX AJA TL+NI'!A110</f>
        <v>mai</v>
      </c>
      <c r="B27" s="205">
        <f>'PAX AJA TL+NI'!B110</f>
        <v>28584</v>
      </c>
      <c r="C27" s="205">
        <f>'PAX AJA TL+NI'!C110</f>
        <v>31568</v>
      </c>
      <c r="D27" s="205">
        <f>'PAX AJA TL+NI'!D110</f>
        <v>19576</v>
      </c>
      <c r="E27" s="205">
        <f>'PAX AJA TL+NI'!E110</f>
        <v>26576</v>
      </c>
      <c r="G27" s="171" t="str">
        <f>'PAX BAS TL+NI'!A110</f>
        <v>mai</v>
      </c>
      <c r="H27" s="205">
        <f>'PAX BAS TL+NI'!B110</f>
        <v>82332</v>
      </c>
      <c r="I27" s="205">
        <f>'PAX BAS TL+NI'!C110</f>
        <v>102572</v>
      </c>
      <c r="J27" s="205">
        <f>'PAX BAS TL+NI'!D110</f>
        <v>83626</v>
      </c>
      <c r="K27" s="205">
        <f>'PAX BAS TL+NI'!E110</f>
        <v>89510</v>
      </c>
      <c r="M27" s="171" t="str">
        <f>'PAX ILR TL+NI'!A110</f>
        <v>mai</v>
      </c>
      <c r="N27" s="205">
        <f>'PAX ILR TL+NI'!B110</f>
        <v>16300</v>
      </c>
      <c r="O27" s="205">
        <f>'PAX ILR TL+NI'!C110</f>
        <v>5757</v>
      </c>
      <c r="P27" s="205">
        <f>'PAX ILR TL+NI'!D110</f>
        <v>0</v>
      </c>
      <c r="Q27" s="205">
        <f>'PAX ILR TL+NI'!E110</f>
        <v>7352.333333333333</v>
      </c>
      <c r="S27" s="171" t="str">
        <f>'PAX PVE TL+NI'!A110</f>
        <v>mai</v>
      </c>
      <c r="T27" s="205">
        <f>'PAX PVE TL+NI'!B110</f>
        <v>0</v>
      </c>
      <c r="U27" s="205">
        <f>'PAX PVE TL+NI'!C110</f>
        <v>0</v>
      </c>
      <c r="V27" s="205">
        <f>'PAX PVE TL+NI'!D110</f>
        <v>0</v>
      </c>
      <c r="W27" s="205">
        <f>'PAX PVE TL+NI'!E110</f>
        <v>0</v>
      </c>
    </row>
    <row r="28" spans="1:29" x14ac:dyDescent="0.25">
      <c r="A28" s="171" t="str">
        <f>'PAX AJA TL+NI'!A111</f>
        <v>juin</v>
      </c>
      <c r="B28" s="205">
        <f>'PAX AJA TL+NI'!B111</f>
        <v>44430</v>
      </c>
      <c r="C28" s="205">
        <f>'PAX AJA TL+NI'!C111</f>
        <v>44264</v>
      </c>
      <c r="D28" s="205">
        <f>'PAX AJA TL+NI'!D111</f>
        <v>40438</v>
      </c>
      <c r="E28" s="205">
        <f>'PAX AJA TL+NI'!E111</f>
        <v>43044</v>
      </c>
      <c r="G28" s="171" t="str">
        <f>'PAX BAS TL+NI'!A111</f>
        <v>juin</v>
      </c>
      <c r="H28" s="205">
        <f>'PAX BAS TL+NI'!B111</f>
        <v>108509</v>
      </c>
      <c r="I28" s="205">
        <f>'PAX BAS TL+NI'!C111</f>
        <v>121989</v>
      </c>
      <c r="J28" s="205">
        <f>'PAX BAS TL+NI'!D111</f>
        <v>162118</v>
      </c>
      <c r="K28" s="205">
        <f>'PAX BAS TL+NI'!E111</f>
        <v>130872</v>
      </c>
      <c r="M28" s="171" t="str">
        <f>'PAX ILR TL+NI'!A111</f>
        <v>juin</v>
      </c>
      <c r="N28" s="205">
        <f>'PAX ILR TL+NI'!B111</f>
        <v>52918</v>
      </c>
      <c r="O28" s="205">
        <f>'PAX ILR TL+NI'!C111</f>
        <v>28437</v>
      </c>
      <c r="P28" s="205">
        <f>'PAX ILR TL+NI'!D111</f>
        <v>9549</v>
      </c>
      <c r="Q28" s="205">
        <f>'PAX ILR TL+NI'!E111</f>
        <v>30301.333333333332</v>
      </c>
      <c r="S28" s="171" t="str">
        <f>'PAX PVE TL+NI'!A111</f>
        <v>juin</v>
      </c>
      <c r="T28" s="205">
        <f>'PAX PVE TL+NI'!B111</f>
        <v>0</v>
      </c>
      <c r="U28" s="205">
        <f>'PAX PVE TL+NI'!C111</f>
        <v>0</v>
      </c>
      <c r="V28" s="205">
        <f>'PAX PVE TL+NI'!D111</f>
        <v>14630</v>
      </c>
      <c r="W28" s="205">
        <f>'PAX PVE TL+NI'!E111</f>
        <v>14630</v>
      </c>
    </row>
    <row r="29" spans="1:29" x14ac:dyDescent="0.25">
      <c r="A29" s="171" t="str">
        <f>'PAX AJA TL+NI'!A112</f>
        <v>juil</v>
      </c>
      <c r="B29" s="205">
        <f>'PAX AJA TL+NI'!B112</f>
        <v>76746</v>
      </c>
      <c r="C29" s="205">
        <f>'PAX AJA TL+NI'!C112</f>
        <v>59917</v>
      </c>
      <c r="D29" s="205">
        <f>'PAX AJA TL+NI'!D112</f>
        <v>76979</v>
      </c>
      <c r="E29" s="205">
        <f>'PAX AJA TL+NI'!E112</f>
        <v>71214</v>
      </c>
      <c r="G29" s="171" t="str">
        <f>'PAX BAS TL+NI'!A112</f>
        <v>juil</v>
      </c>
      <c r="H29" s="205">
        <f>'PAX BAS TL+NI'!B112</f>
        <v>150666</v>
      </c>
      <c r="I29" s="205">
        <f>'PAX BAS TL+NI'!C112</f>
        <v>132135</v>
      </c>
      <c r="J29" s="205">
        <f>'PAX BAS TL+NI'!D112</f>
        <v>257053</v>
      </c>
      <c r="K29" s="205">
        <f>'PAX BAS TL+NI'!E112</f>
        <v>179951.33333333334</v>
      </c>
      <c r="M29" s="171" t="str">
        <f>'PAX ILR TL+NI'!A112</f>
        <v>juil</v>
      </c>
      <c r="N29" s="205">
        <f>'PAX ILR TL+NI'!B112</f>
        <v>165231</v>
      </c>
      <c r="O29" s="205">
        <f>'PAX ILR TL+NI'!C112</f>
        <v>114172</v>
      </c>
      <c r="P29" s="205">
        <f>'PAX ILR TL+NI'!D112</f>
        <v>55877</v>
      </c>
      <c r="Q29" s="205">
        <f>'PAX ILR TL+NI'!E112</f>
        <v>111760</v>
      </c>
      <c r="S29" s="171" t="str">
        <f>'PAX PVE TL+NI'!A112</f>
        <v>juil</v>
      </c>
      <c r="T29" s="205">
        <f>'PAX PVE TL+NI'!B112</f>
        <v>0</v>
      </c>
      <c r="U29" s="205">
        <f>'PAX PVE TL+NI'!C112</f>
        <v>0</v>
      </c>
      <c r="V29" s="205">
        <f>'PAX PVE TL+NI'!D112</f>
        <v>16208</v>
      </c>
      <c r="W29" s="205">
        <f>'PAX PVE TL+NI'!E112</f>
        <v>16208</v>
      </c>
    </row>
    <row r="30" spans="1:29" x14ac:dyDescent="0.25">
      <c r="A30" s="171" t="str">
        <f>'PAX AJA TL+NI'!A113</f>
        <v>aou</v>
      </c>
      <c r="B30" s="205">
        <f>'PAX AJA TL+NI'!B113</f>
        <v>119526</v>
      </c>
      <c r="C30" s="205">
        <f>'PAX AJA TL+NI'!C113</f>
        <v>78054</v>
      </c>
      <c r="D30" s="205">
        <f>'PAX AJA TL+NI'!D113</f>
        <v>59604</v>
      </c>
      <c r="E30" s="205">
        <f>'PAX AJA TL+NI'!E113</f>
        <v>85728</v>
      </c>
      <c r="G30" s="171" t="str">
        <f>'PAX BAS TL+NI'!A113</f>
        <v>aou</v>
      </c>
      <c r="H30" s="205">
        <f>'PAX BAS TL+NI'!B113</f>
        <v>160187</v>
      </c>
      <c r="I30" s="205">
        <f>'PAX BAS TL+NI'!C113</f>
        <v>125034</v>
      </c>
      <c r="J30" s="205">
        <f>'PAX BAS TL+NI'!D113</f>
        <v>208684</v>
      </c>
      <c r="K30" s="205">
        <f>'PAX BAS TL+NI'!E113</f>
        <v>164635</v>
      </c>
      <c r="M30" s="171" t="str">
        <f>'PAX ILR TL+NI'!A113</f>
        <v>aou</v>
      </c>
      <c r="N30" s="205">
        <f>'PAX ILR TL+NI'!B113</f>
        <v>185980</v>
      </c>
      <c r="O30" s="205">
        <f>'PAX ILR TL+NI'!C113</f>
        <v>173200</v>
      </c>
      <c r="P30" s="205">
        <f>'PAX ILR TL+NI'!D113</f>
        <v>137126</v>
      </c>
      <c r="Q30" s="205">
        <f>'PAX ILR TL+NI'!E113</f>
        <v>165435.33333333334</v>
      </c>
      <c r="S30" s="171" t="str">
        <f>'PAX PVE TL+NI'!A113</f>
        <v>aou</v>
      </c>
      <c r="T30" s="205">
        <f>'PAX PVE TL+NI'!B113</f>
        <v>0</v>
      </c>
      <c r="U30" s="205">
        <f>'PAX PVE TL+NI'!C113</f>
        <v>0</v>
      </c>
      <c r="V30" s="205">
        <f>'PAX PVE TL+NI'!D113</f>
        <v>17997</v>
      </c>
      <c r="W30" s="205">
        <f>'PAX PVE TL+NI'!E113</f>
        <v>17997</v>
      </c>
    </row>
    <row r="31" spans="1:29" x14ac:dyDescent="0.25">
      <c r="A31" s="171" t="str">
        <f>'PAX AJA TL+NI'!A114</f>
        <v>sep</v>
      </c>
      <c r="B31" s="205">
        <f>'PAX AJA TL+NI'!B114</f>
        <v>34404</v>
      </c>
      <c r="C31" s="205">
        <f>'PAX AJA TL+NI'!C114</f>
        <v>38196</v>
      </c>
      <c r="D31" s="205">
        <f>'PAX AJA TL+NI'!D114</f>
        <v>30647</v>
      </c>
      <c r="E31" s="205">
        <f>'PAX AJA TL+NI'!E114</f>
        <v>34415.666666666664</v>
      </c>
      <c r="G31" s="171" t="str">
        <f>'PAX BAS TL+NI'!A114</f>
        <v>sep</v>
      </c>
      <c r="H31" s="205">
        <f>'PAX BAS TL+NI'!B114</f>
        <v>109730</v>
      </c>
      <c r="I31" s="205">
        <f>'PAX BAS TL+NI'!C114</f>
        <v>118158</v>
      </c>
      <c r="J31" s="205">
        <f>'PAX BAS TL+NI'!D114</f>
        <v>114565</v>
      </c>
      <c r="K31" s="205">
        <f>'PAX BAS TL+NI'!E114</f>
        <v>114151</v>
      </c>
      <c r="M31" s="171" t="str">
        <f>'PAX ILR TL+NI'!A114</f>
        <v>sep</v>
      </c>
      <c r="N31" s="205">
        <f>'PAX ILR TL+NI'!B114</f>
        <v>67544</v>
      </c>
      <c r="O31" s="205">
        <f>'PAX ILR TL+NI'!C114</f>
        <v>51853</v>
      </c>
      <c r="P31" s="205">
        <f>'PAX ILR TL+NI'!D114</f>
        <v>38354</v>
      </c>
      <c r="Q31" s="205">
        <f>'PAX ILR TL+NI'!E114</f>
        <v>52583.666666666664</v>
      </c>
      <c r="S31" s="171" t="str">
        <f>'PAX PVE TL+NI'!A114</f>
        <v>sep</v>
      </c>
      <c r="T31" s="205">
        <f>'PAX PVE TL+NI'!B114</f>
        <v>0</v>
      </c>
      <c r="U31" s="205">
        <f>'PAX PVE TL+NI'!C114</f>
        <v>0</v>
      </c>
      <c r="V31" s="205">
        <f>'PAX PVE TL+NI'!D114</f>
        <v>14523</v>
      </c>
      <c r="W31" s="205">
        <f>'PAX PVE TL+NI'!E114</f>
        <v>14523</v>
      </c>
    </row>
    <row r="32" spans="1:29" x14ac:dyDescent="0.25">
      <c r="A32" s="171" t="str">
        <f>'PAX AJA TL+NI'!A115</f>
        <v>oct</v>
      </c>
      <c r="B32" s="205">
        <f>'PAX AJA TL+NI'!B115</f>
        <v>3861</v>
      </c>
      <c r="C32" s="205">
        <f>'PAX AJA TL+NI'!C115</f>
        <v>5688</v>
      </c>
      <c r="D32" s="205">
        <f>'PAX AJA TL+NI'!D115</f>
        <v>18800</v>
      </c>
      <c r="E32" s="205">
        <f>'PAX AJA TL+NI'!E115</f>
        <v>9449.6666666666661</v>
      </c>
      <c r="G32" s="171" t="str">
        <f>'PAX BAS TL+NI'!A115</f>
        <v>oct</v>
      </c>
      <c r="H32" s="205">
        <f>'PAX BAS TL+NI'!B115</f>
        <v>57606</v>
      </c>
      <c r="I32" s="205">
        <f>'PAX BAS TL+NI'!C115</f>
        <v>65744</v>
      </c>
      <c r="J32" s="205">
        <f>'PAX BAS TL+NI'!D115</f>
        <v>54540</v>
      </c>
      <c r="K32" s="205">
        <f>'PAX BAS TL+NI'!E115</f>
        <v>59296.666666666664</v>
      </c>
      <c r="M32" s="171" t="str">
        <f>'PAX ILR TL+NI'!A115</f>
        <v>oct</v>
      </c>
      <c r="N32" s="205">
        <f>'PAX ILR TL+NI'!B115</f>
        <v>4064</v>
      </c>
      <c r="O32" s="205">
        <f>'PAX ILR TL+NI'!C115</f>
        <v>0</v>
      </c>
      <c r="P32" s="205">
        <f>'PAX ILR TL+NI'!D115</f>
        <v>0</v>
      </c>
      <c r="Q32" s="205">
        <f>'PAX ILR TL+NI'!E115</f>
        <v>1354.6666666666667</v>
      </c>
      <c r="S32" s="171" t="str">
        <f>'PAX PVE TL+NI'!A115</f>
        <v>oct</v>
      </c>
      <c r="T32" s="205">
        <f>'PAX PVE TL+NI'!B115</f>
        <v>0</v>
      </c>
      <c r="U32" s="205">
        <f>'PAX PVE TL+NI'!C115</f>
        <v>0</v>
      </c>
      <c r="V32" s="205">
        <f>'PAX PVE TL+NI'!D115</f>
        <v>1896</v>
      </c>
      <c r="W32" s="205">
        <f>'PAX PVE TL+NI'!E115</f>
        <v>1896</v>
      </c>
    </row>
    <row r="33" spans="1:23" x14ac:dyDescent="0.25">
      <c r="A33" s="171" t="str">
        <f>'PAX AJA TL+NI'!A116</f>
        <v>nov</v>
      </c>
      <c r="B33" s="205">
        <f>'PAX AJA TL+NI'!B116</f>
        <v>3930</v>
      </c>
      <c r="C33" s="205">
        <f>'PAX AJA TL+NI'!C116</f>
        <v>11514</v>
      </c>
      <c r="D33" s="205">
        <f>'PAX AJA TL+NI'!D116</f>
        <v>11652</v>
      </c>
      <c r="E33" s="205">
        <f>'PAX AJA TL+NI'!E116</f>
        <v>0</v>
      </c>
      <c r="G33" s="171" t="str">
        <f>'PAX BAS TL+NI'!A116</f>
        <v>nov</v>
      </c>
      <c r="H33" s="205">
        <f>'PAX BAS TL+NI'!B116</f>
        <v>34370</v>
      </c>
      <c r="I33" s="205">
        <f>'PAX BAS TL+NI'!C116</f>
        <v>43770</v>
      </c>
      <c r="J33" s="205">
        <f>'PAX BAS TL+NI'!D116</f>
        <v>62982</v>
      </c>
      <c r="K33" s="205">
        <f>'PAX BAS TL+NI'!E116</f>
        <v>0</v>
      </c>
      <c r="M33" s="171" t="str">
        <f>'PAX ILR TL+NI'!A116</f>
        <v>nov</v>
      </c>
      <c r="N33" s="205">
        <f>'PAX ILR TL+NI'!B116</f>
        <v>4292</v>
      </c>
      <c r="O33" s="205">
        <f>'PAX ILR TL+NI'!C116</f>
        <v>8952</v>
      </c>
      <c r="P33" s="205">
        <f>'PAX ILR TL+NI'!D116</f>
        <v>19098</v>
      </c>
      <c r="Q33" s="205">
        <f>'PAX ILR TL+NI'!E116</f>
        <v>0</v>
      </c>
      <c r="S33" s="171" t="str">
        <f>'PAX PVE TL+NI'!A116</f>
        <v>nov</v>
      </c>
      <c r="T33" s="205">
        <f>'PAX PVE TL+NI'!B116</f>
        <v>0</v>
      </c>
      <c r="U33" s="205">
        <f>'PAX PVE TL+NI'!C116</f>
        <v>0</v>
      </c>
      <c r="V33" s="205">
        <f>'PAX PVE TL+NI'!D116</f>
        <v>11376</v>
      </c>
      <c r="W33" s="205">
        <f>'PAX PVE TL+NI'!E116</f>
        <v>11376</v>
      </c>
    </row>
    <row r="34" spans="1:23" x14ac:dyDescent="0.25">
      <c r="A34" s="171" t="str">
        <f>'PAX AJA TL+NI'!A117</f>
        <v>déc</v>
      </c>
      <c r="B34" s="205">
        <f>'PAX AJA TL+NI'!B117</f>
        <v>2100</v>
      </c>
      <c r="C34" s="205">
        <f>'PAX AJA TL+NI'!C117</f>
        <v>17952</v>
      </c>
      <c r="D34" s="205">
        <f>'PAX AJA TL+NI'!D117</f>
        <v>13479</v>
      </c>
      <c r="E34" s="205">
        <f>'PAX AJA TL+NI'!E117</f>
        <v>0</v>
      </c>
      <c r="G34" s="171" t="str">
        <f>'PAX BAS TL+NI'!A117</f>
        <v>déc</v>
      </c>
      <c r="H34" s="205">
        <f>'PAX BAS TL+NI'!B117</f>
        <v>38476</v>
      </c>
      <c r="I34" s="205">
        <f>'PAX BAS TL+NI'!C117</f>
        <v>45671</v>
      </c>
      <c r="J34" s="205">
        <f>'PAX BAS TL+NI'!D117</f>
        <v>67723</v>
      </c>
      <c r="K34" s="205">
        <f>'PAX BAS TL+NI'!E117</f>
        <v>0</v>
      </c>
      <c r="M34" s="171" t="str">
        <f>'PAX ILR TL+NI'!A117</f>
        <v>déc</v>
      </c>
      <c r="N34" s="205">
        <f>'PAX ILR TL+NI'!B117</f>
        <v>2032</v>
      </c>
      <c r="O34" s="205">
        <f>'PAX ILR TL+NI'!C117</f>
        <v>13128</v>
      </c>
      <c r="P34" s="205">
        <f>'PAX ILR TL+NI'!D117</f>
        <v>9549</v>
      </c>
      <c r="Q34" s="205">
        <f>'PAX ILR TL+NI'!E117</f>
        <v>0</v>
      </c>
      <c r="S34" s="171" t="str">
        <f>'PAX PVE TL+NI'!A117</f>
        <v>déc</v>
      </c>
      <c r="T34" s="205">
        <f>'PAX PVE TL+NI'!B117</f>
        <v>0</v>
      </c>
      <c r="U34" s="205">
        <f>'PAX PVE TL+NI'!C117</f>
        <v>0</v>
      </c>
      <c r="V34" s="205">
        <f>'PAX PVE TL+NI'!D117</f>
        <v>11376</v>
      </c>
      <c r="W34" s="205">
        <f>'PAX PVE TL+NI'!E117</f>
        <v>11376</v>
      </c>
    </row>
    <row r="35" spans="1:23" x14ac:dyDescent="0.25">
      <c r="A35" s="198" t="str">
        <f>'PAX AJA TL+NI'!A118</f>
        <v>TOTAL</v>
      </c>
      <c r="B35" s="205">
        <f>'PAX AJA TL+NI'!B118</f>
        <v>396460</v>
      </c>
      <c r="C35" s="205">
        <f>'PAX AJA TL+NI'!C118</f>
        <v>299349</v>
      </c>
      <c r="D35" s="205">
        <f>'PAX AJA TL+NI'!D118</f>
        <v>335255</v>
      </c>
      <c r="E35" s="205">
        <f>'PAX AJA TL+NI'!E118</f>
        <v>323479</v>
      </c>
      <c r="G35" s="171" t="str">
        <f>'PAX BAS TL+NI'!A118</f>
        <v>TOTAL</v>
      </c>
      <c r="H35" s="205">
        <f>'PAX BAS TL+NI'!B118</f>
        <v>917490</v>
      </c>
      <c r="I35" s="205">
        <f>'PAX BAS TL+NI'!C118</f>
        <v>946806</v>
      </c>
      <c r="J35" s="205">
        <f>'PAX BAS TL+NI'!D118</f>
        <v>1256934</v>
      </c>
      <c r="K35" s="205">
        <f>'PAX BAS TL+NI'!E118</f>
        <v>942746</v>
      </c>
      <c r="M35" s="171" t="str">
        <f>'PAX ILR TL+NI'!A118</f>
        <v>TOTAL</v>
      </c>
      <c r="N35" s="205">
        <f>'PAX ILR TL+NI'!B118</f>
        <v>524409</v>
      </c>
      <c r="O35" s="205">
        <f>'PAX ILR TL+NI'!C118</f>
        <v>409799</v>
      </c>
      <c r="P35" s="205">
        <f>'PAX ILR TL+NI'!D118</f>
        <v>297495</v>
      </c>
      <c r="Q35" s="205">
        <f>'PAX ILR TL+NI'!E118</f>
        <v>391550.66666666674</v>
      </c>
      <c r="S35" s="171" t="str">
        <f>'PAX PVE TL+NI'!A118</f>
        <v>TOTAL</v>
      </c>
      <c r="T35" s="205">
        <f>'PAX PVE TL+NI'!B118</f>
        <v>0</v>
      </c>
      <c r="U35" s="205">
        <f>'PAX PVE TL+NI'!C118</f>
        <v>0</v>
      </c>
      <c r="V35" s="205">
        <f>'PAX PVE TL+NI'!D118</f>
        <v>88006</v>
      </c>
      <c r="W35" s="205">
        <f>'PAX PVE TL+NI'!E118</f>
        <v>88006</v>
      </c>
    </row>
    <row r="36" spans="1:23" x14ac:dyDescent="0.25">
      <c r="A36" s="32" t="str">
        <f>'PAX AJA TL+NI'!A119</f>
        <v>Source : CCI Nice</v>
      </c>
      <c r="B36" s="194"/>
      <c r="C36" s="194"/>
      <c r="D36" s="194"/>
      <c r="E36" s="195"/>
      <c r="G36" s="32" t="str">
        <f>'PAX BAS TL+NI'!A119</f>
        <v>Source : CCI Nice</v>
      </c>
      <c r="H36" s="194"/>
      <c r="I36" s="194"/>
      <c r="J36" s="194"/>
      <c r="K36" s="195"/>
      <c r="M36" s="32" t="str">
        <f>'PAX ILR TL+NI'!A119</f>
        <v>Source : CCI Nice</v>
      </c>
      <c r="N36" s="194"/>
      <c r="O36" s="194"/>
      <c r="P36" s="194"/>
      <c r="Q36" s="195"/>
      <c r="S36" s="32" t="str">
        <f>'PAX PVE TL+NI'!A119</f>
        <v>Source : CCI Nice</v>
      </c>
      <c r="T36" s="194"/>
      <c r="U36" s="194"/>
      <c r="V36" s="194"/>
      <c r="W36" s="195"/>
    </row>
    <row r="38" spans="1:23" x14ac:dyDescent="0.25">
      <c r="A38" s="171" t="str">
        <f>'ROLL+VL AJA TL+NI '!A1</f>
        <v>CAPACITE ROLL  AJACCIO TOULON</v>
      </c>
      <c r="B38" s="118"/>
      <c r="C38" s="118"/>
      <c r="D38" s="118"/>
      <c r="E38" s="118"/>
      <c r="G38" s="171" t="str">
        <f>'ROLL+VL BAS TL+NI'!A1</f>
        <v>CAPACITE  ROLL BASTIA TOULON</v>
      </c>
      <c r="H38" s="194"/>
      <c r="I38" s="194"/>
      <c r="J38" s="194"/>
      <c r="K38" s="195"/>
      <c r="M38" s="171" t="str">
        <f>'ROLL+VL ILR TL+NI'!A1</f>
        <v>CAPACITE ROLL  ILE ROUSSE TOULON</v>
      </c>
      <c r="N38" s="194"/>
      <c r="O38" s="194"/>
      <c r="P38" s="194"/>
      <c r="Q38" s="195"/>
      <c r="S38" s="171" t="str">
        <f>'ROLL+VL PVE TL+NI '!A1</f>
        <v>CAPACITE ROLL  PORTO VECCHIO TOULON</v>
      </c>
      <c r="T38" s="194"/>
      <c r="U38" s="194"/>
      <c r="V38" s="194"/>
      <c r="W38" s="195"/>
    </row>
    <row r="39" spans="1:23" x14ac:dyDescent="0.25">
      <c r="A39" s="171"/>
      <c r="B39" s="20">
        <f>'ROLL+VL AJA TL+NI '!B2</f>
        <v>2014</v>
      </c>
      <c r="C39" s="20">
        <f>'ROLL+VL AJA TL+NI '!C2</f>
        <v>2015</v>
      </c>
      <c r="D39" s="20">
        <f>'ROLL+VL AJA TL+NI '!D2</f>
        <v>2016</v>
      </c>
      <c r="E39" s="20">
        <f>'ROLL+VL AJA TL+NI '!E2</f>
        <v>2017</v>
      </c>
      <c r="G39" s="171"/>
      <c r="H39" s="20">
        <f>'ROLL+VL BAS TL+NI'!B2</f>
        <v>2014</v>
      </c>
      <c r="I39" s="20">
        <f>'ROLL+VL BAS TL+NI'!C2</f>
        <v>2015</v>
      </c>
      <c r="J39" s="20">
        <f>'ROLL+VL BAS TL+NI'!D2</f>
        <v>2016</v>
      </c>
      <c r="K39" s="20">
        <f>'ROLL+VL BAS TL+NI'!E2</f>
        <v>2017</v>
      </c>
      <c r="M39" s="171"/>
      <c r="N39" s="20">
        <f>'ROLL+VL ILR TL+NI'!B2</f>
        <v>2014</v>
      </c>
      <c r="O39" s="20">
        <f>'ROLL+VL ILR TL+NI'!C2</f>
        <v>2015</v>
      </c>
      <c r="P39" s="20">
        <f>'ROLL+VL ILR TL+NI'!D2</f>
        <v>2016</v>
      </c>
      <c r="Q39" s="20">
        <f>'ROLL+VL ILR TL+NI'!E2</f>
        <v>2017</v>
      </c>
      <c r="S39" s="171"/>
      <c r="T39" s="20">
        <f>'ROLL+VL PVE TL+NI '!B2</f>
        <v>2014</v>
      </c>
      <c r="U39" s="20">
        <f>'ROLL+VL PVE TL+NI '!C2</f>
        <v>2015</v>
      </c>
      <c r="V39" s="20">
        <f>'ROLL+VL PVE TL+NI '!D2</f>
        <v>2016</v>
      </c>
      <c r="W39" s="20">
        <f>'ROLL+VL PVE TL+NI '!E2</f>
        <v>2017</v>
      </c>
    </row>
    <row r="40" spans="1:23" x14ac:dyDescent="0.25">
      <c r="A40" s="171" t="str">
        <f>'ROLL+VL AJA TL+NI '!A3</f>
        <v>jan</v>
      </c>
      <c r="B40" s="205">
        <f>'ROLL+VL AJA TL+NI '!B3</f>
        <v>26288</v>
      </c>
      <c r="C40" s="205">
        <f>'ROLL+VL AJA TL+NI '!C3</f>
        <v>23909.599999999999</v>
      </c>
      <c r="D40" s="205">
        <f>'ROLL+VL AJA TL+NI '!D3</f>
        <v>24588.800000000003</v>
      </c>
      <c r="E40" s="205">
        <f>'ROLL+VL AJA TL+NI '!E3</f>
        <v>23747.199999999997</v>
      </c>
      <c r="G40" s="171" t="str">
        <f>'ROLL+VL BAS TL+NI'!A3</f>
        <v>jan</v>
      </c>
      <c r="H40" s="205">
        <f>'ROLL+VL BAS TL+NI'!B3</f>
        <v>24518</v>
      </c>
      <c r="I40" s="205">
        <f>'ROLL+VL BAS TL+NI'!C3</f>
        <v>20300.400000000001</v>
      </c>
      <c r="J40" s="205">
        <f>'ROLL+VL BAS TL+NI'!D3</f>
        <v>23309.200000000001</v>
      </c>
      <c r="K40" s="205">
        <f>'ROLL+VL BAS TL+NI'!E3</f>
        <v>20638.800000000003</v>
      </c>
      <c r="M40" s="171" t="str">
        <f>'ROLL+VL ILR TL+NI'!A3</f>
        <v>jan</v>
      </c>
      <c r="N40" s="205">
        <f>'ROLL+VL ILR TL+NI'!B3</f>
        <v>0</v>
      </c>
      <c r="O40" s="205">
        <f>'ROLL+VL ILR TL+NI'!C3</f>
        <v>1304</v>
      </c>
      <c r="P40" s="205">
        <f>'ROLL+VL ILR TL+NI'!D3</f>
        <v>0</v>
      </c>
      <c r="Q40" s="205">
        <f>'ROLL+VL ILR TL+NI'!E3</f>
        <v>340.40000000000003</v>
      </c>
      <c r="S40" s="171" t="str">
        <f>'ROLL+VL PVE TL+NI '!A3</f>
        <v>jan</v>
      </c>
      <c r="T40" s="205">
        <f>'ROLL+VL PVE TL+NI '!B3</f>
        <v>0</v>
      </c>
      <c r="U40" s="205">
        <f>'ROLL+VL PVE TL+NI '!C3</f>
        <v>0</v>
      </c>
      <c r="V40" s="205">
        <f>'ROLL+VL PVE TL+NI '!D3</f>
        <v>340.40000000000003</v>
      </c>
      <c r="W40" s="205">
        <f>'ROLL+VL PVE TL+NI '!E3</f>
        <v>340.40000000000003</v>
      </c>
    </row>
    <row r="41" spans="1:23" x14ac:dyDescent="0.25">
      <c r="A41" s="171" t="str">
        <f>'ROLL+VL AJA TL+NI '!A4</f>
        <v>fév</v>
      </c>
      <c r="B41" s="205">
        <f>'ROLL+VL AJA TL+NI '!B4</f>
        <v>19595.2</v>
      </c>
      <c r="C41" s="205">
        <f>'ROLL+VL AJA TL+NI '!C4</f>
        <v>20804.800000000003</v>
      </c>
      <c r="D41" s="205">
        <f>'ROLL+VL AJA TL+NI '!D4</f>
        <v>24143.199999999997</v>
      </c>
      <c r="E41" s="205">
        <f>'ROLL+VL AJA TL+NI '!E4</f>
        <v>20512.8</v>
      </c>
      <c r="G41" s="171" t="str">
        <f>'ROLL+VL BAS TL+NI'!A4</f>
        <v>fév</v>
      </c>
      <c r="H41" s="205">
        <f>'ROLL+VL BAS TL+NI'!B4</f>
        <v>25621.599999999999</v>
      </c>
      <c r="I41" s="205">
        <f>'ROLL+VL BAS TL+NI'!C4</f>
        <v>23945.200000000001</v>
      </c>
      <c r="J41" s="205">
        <f>'ROLL+VL BAS TL+NI'!D4</f>
        <v>23752</v>
      </c>
      <c r="K41" s="205">
        <f>'ROLL+VL BAS TL+NI'!E4</f>
        <v>19013.599999999999</v>
      </c>
      <c r="M41" s="171" t="str">
        <f>'ROLL+VL ILR TL+NI'!A4</f>
        <v>fév</v>
      </c>
      <c r="N41" s="205">
        <f>'ROLL+VL ILR TL+NI'!B4</f>
        <v>1304</v>
      </c>
      <c r="O41" s="205">
        <f>'ROLL+VL ILR TL+NI'!C4</f>
        <v>5216</v>
      </c>
      <c r="P41" s="205">
        <f>'ROLL+VL ILR TL+NI'!D4</f>
        <v>0</v>
      </c>
      <c r="Q41" s="205">
        <f>'ROLL+VL ILR TL+NI'!E4</f>
        <v>1020.8000000000002</v>
      </c>
      <c r="S41" s="171" t="str">
        <f>'ROLL+VL PVE TL+NI '!A4</f>
        <v>fév</v>
      </c>
      <c r="T41" s="205">
        <f>'ROLL+VL PVE TL+NI '!B4</f>
        <v>1304</v>
      </c>
      <c r="U41" s="205">
        <f>'ROLL+VL PVE TL+NI '!C4</f>
        <v>0</v>
      </c>
      <c r="V41" s="205">
        <f>'ROLL+VL PVE TL+NI '!D4</f>
        <v>0</v>
      </c>
      <c r="W41" s="205">
        <f>'ROLL+VL PVE TL+NI '!E4</f>
        <v>0</v>
      </c>
    </row>
    <row r="42" spans="1:23" x14ac:dyDescent="0.25">
      <c r="A42" s="171" t="str">
        <f>'ROLL+VL AJA TL+NI '!A5</f>
        <v>mar</v>
      </c>
      <c r="B42" s="205">
        <f>'ROLL+VL AJA TL+NI '!B5</f>
        <v>21536.799999999999</v>
      </c>
      <c r="C42" s="205">
        <f>'ROLL+VL AJA TL+NI '!C5</f>
        <v>22514.799999999999</v>
      </c>
      <c r="D42" s="205">
        <f>'ROLL+VL AJA TL+NI '!D5</f>
        <v>26110</v>
      </c>
      <c r="E42" s="205">
        <f>'ROLL+VL AJA TL+NI '!E5</f>
        <v>22298.799999999999</v>
      </c>
      <c r="G42" s="171" t="str">
        <f>'ROLL+VL BAS TL+NI'!A5</f>
        <v>mar</v>
      </c>
      <c r="H42" s="205">
        <f>'ROLL+VL BAS TL+NI'!B5</f>
        <v>29114.399999999998</v>
      </c>
      <c r="I42" s="205">
        <f>'ROLL+VL BAS TL+NI'!C5</f>
        <v>27406.799999999999</v>
      </c>
      <c r="J42" s="205">
        <f>'ROLL+VL BAS TL+NI'!D5</f>
        <v>26041.199999999997</v>
      </c>
      <c r="K42" s="205">
        <f>'ROLL+VL BAS TL+NI'!E5</f>
        <v>28336</v>
      </c>
      <c r="M42" s="171" t="str">
        <f>'ROLL+VL ILR TL+NI'!A5</f>
        <v>mar</v>
      </c>
      <c r="N42" s="205">
        <f>'ROLL+VL ILR TL+NI'!B5</f>
        <v>0</v>
      </c>
      <c r="O42" s="205">
        <f>'ROLL+VL ILR TL+NI'!C5</f>
        <v>2608</v>
      </c>
      <c r="P42" s="205">
        <f>'ROLL+VL ILR TL+NI'!D5</f>
        <v>0</v>
      </c>
      <c r="Q42" s="205">
        <f>'ROLL+VL ILR TL+NI'!E5</f>
        <v>0</v>
      </c>
      <c r="S42" s="171" t="str">
        <f>'ROLL+VL PVE TL+NI '!A5</f>
        <v>mar</v>
      </c>
      <c r="T42" s="205">
        <f>'ROLL+VL PVE TL+NI '!B5</f>
        <v>0</v>
      </c>
      <c r="U42" s="205">
        <f>'ROLL+VL PVE TL+NI '!C5</f>
        <v>0</v>
      </c>
      <c r="V42" s="205">
        <f>'ROLL+VL PVE TL+NI '!D5</f>
        <v>0</v>
      </c>
      <c r="W42" s="205">
        <f>'ROLL+VL PVE TL+NI '!E5</f>
        <v>0</v>
      </c>
    </row>
    <row r="43" spans="1:23" x14ac:dyDescent="0.25">
      <c r="A43" s="171" t="str">
        <f>'ROLL+VL AJA TL+NI '!A6</f>
        <v>avr</v>
      </c>
      <c r="B43" s="205">
        <f>'ROLL+VL AJA TL+NI '!B6</f>
        <v>32824</v>
      </c>
      <c r="C43" s="205">
        <f>'ROLL+VL AJA TL+NI '!C6</f>
        <v>35914</v>
      </c>
      <c r="D43" s="205">
        <f>'ROLL+VL AJA TL+NI '!D6</f>
        <v>35345.199999999997</v>
      </c>
      <c r="E43" s="205">
        <f>'ROLL+VL AJA TL+NI '!E6</f>
        <v>38160</v>
      </c>
      <c r="G43" s="171" t="str">
        <f>'ROLL+VL BAS TL+NI'!A6</f>
        <v>avr</v>
      </c>
      <c r="H43" s="205">
        <f>'ROLL+VL BAS TL+NI'!B6</f>
        <v>25399.200000000001</v>
      </c>
      <c r="I43" s="205">
        <f>'ROLL+VL BAS TL+NI'!C6</f>
        <v>25542</v>
      </c>
      <c r="J43" s="205">
        <f>'ROLL+VL BAS TL+NI'!D6</f>
        <v>24598.400000000001</v>
      </c>
      <c r="K43" s="205">
        <f>'ROLL+VL BAS TL+NI'!E6</f>
        <v>24985.599999999999</v>
      </c>
      <c r="M43" s="171" t="str">
        <f>'ROLL+VL ILR TL+NI'!A6</f>
        <v>avr</v>
      </c>
      <c r="N43" s="205">
        <f>'ROLL+VL ILR TL+NI'!B6</f>
        <v>3817.6000000000004</v>
      </c>
      <c r="O43" s="205">
        <f>'ROLL+VL ILR TL+NI'!C6</f>
        <v>2874</v>
      </c>
      <c r="P43" s="205">
        <f>'ROLL+VL ILR TL+NI'!D6</f>
        <v>6843.6</v>
      </c>
      <c r="Q43" s="205">
        <f>'ROLL+VL ILR TL+NI'!E6</f>
        <v>6098.4000000000005</v>
      </c>
      <c r="S43" s="171" t="str">
        <f>'ROLL+VL PVE TL+NI '!A6</f>
        <v>avr</v>
      </c>
      <c r="T43" s="205">
        <f>'ROLL+VL PVE TL+NI '!B6</f>
        <v>0</v>
      </c>
      <c r="U43" s="205">
        <f>'ROLL+VL PVE TL+NI '!C6</f>
        <v>0</v>
      </c>
      <c r="V43" s="205">
        <f>'ROLL+VL PVE TL+NI '!D6</f>
        <v>0</v>
      </c>
      <c r="W43" s="205">
        <f>'ROLL+VL PVE TL+NI '!E6</f>
        <v>855.59999999999991</v>
      </c>
    </row>
    <row r="44" spans="1:23" x14ac:dyDescent="0.25">
      <c r="A44" s="171" t="str">
        <f>'ROLL+VL AJA TL+NI '!A7</f>
        <v>mai</v>
      </c>
      <c r="B44" s="205">
        <f>'ROLL+VL AJA TL+NI '!B7</f>
        <v>28339.68</v>
      </c>
      <c r="C44" s="205">
        <f>'ROLL+VL AJA TL+NI '!C7</f>
        <v>24771.360000000001</v>
      </c>
      <c r="D44" s="205">
        <f>'ROLL+VL AJA TL+NI '!D7</f>
        <v>18569.04</v>
      </c>
      <c r="E44" s="205">
        <f>'ROLL+VL AJA TL+NI '!E7</f>
        <v>20272.32</v>
      </c>
      <c r="G44" s="171" t="str">
        <f>'ROLL+VL BAS TL+NI'!A7</f>
        <v>mai</v>
      </c>
      <c r="H44" s="205">
        <f>'ROLL+VL BAS TL+NI'!B7</f>
        <v>15897.119999999999</v>
      </c>
      <c r="I44" s="205">
        <f>'ROLL+VL BAS TL+NI'!C7</f>
        <v>15843.599999999999</v>
      </c>
      <c r="J44" s="205">
        <f>'ROLL+VL BAS TL+NI'!D7</f>
        <v>15825.839999999998</v>
      </c>
      <c r="K44" s="205">
        <f>'ROLL+VL BAS TL+NI'!E7</f>
        <v>14958.48</v>
      </c>
      <c r="M44" s="171" t="str">
        <f>'ROLL+VL ILR TL+NI'!A7</f>
        <v>mai</v>
      </c>
      <c r="N44" s="205">
        <f>'ROLL+VL ILR TL+NI'!B7</f>
        <v>5069.76</v>
      </c>
      <c r="O44" s="205">
        <f>'ROLL+VL ILR TL+NI'!C7</f>
        <v>3744.96</v>
      </c>
      <c r="P44" s="205">
        <f>'ROLL+VL ILR TL+NI'!D7</f>
        <v>2513.7600000000002</v>
      </c>
      <c r="Q44" s="205">
        <f>'ROLL+VL ILR TL+NI'!E7</f>
        <v>6552.72</v>
      </c>
      <c r="S44" s="171" t="str">
        <f>'ROLL+VL PVE TL+NI '!A7</f>
        <v>mai</v>
      </c>
      <c r="T44" s="205">
        <f>'ROLL+VL PVE TL+NI '!B7</f>
        <v>0</v>
      </c>
      <c r="U44" s="205">
        <f>'ROLL+VL PVE TL+NI '!C7</f>
        <v>0</v>
      </c>
      <c r="V44" s="205">
        <f>'ROLL+VL PVE TL+NI '!D7</f>
        <v>0</v>
      </c>
      <c r="W44" s="205">
        <f>'ROLL+VL PVE TL+NI '!E7</f>
        <v>408</v>
      </c>
    </row>
    <row r="45" spans="1:23" x14ac:dyDescent="0.25">
      <c r="A45" s="171" t="str">
        <f>'ROLL+VL AJA TL+NI '!A8</f>
        <v>juin</v>
      </c>
      <c r="B45" s="205">
        <f>'ROLL+VL AJA TL+NI '!B8</f>
        <v>26064.479999999996</v>
      </c>
      <c r="C45" s="205">
        <f>'ROLL+VL AJA TL+NI '!C8</f>
        <v>26652.479999999996</v>
      </c>
      <c r="D45" s="205">
        <f>'ROLL+VL AJA TL+NI '!D8</f>
        <v>23336.400000000001</v>
      </c>
      <c r="E45" s="205">
        <f>'ROLL+VL AJA TL+NI '!E8</f>
        <v>21571.200000000001</v>
      </c>
      <c r="G45" s="171" t="str">
        <f>'ROLL+VL BAS TL+NI'!A8</f>
        <v>juin</v>
      </c>
      <c r="H45" s="205">
        <f>'ROLL+VL BAS TL+NI'!B8</f>
        <v>14705.52</v>
      </c>
      <c r="I45" s="205">
        <f>'ROLL+VL BAS TL+NI'!C8</f>
        <v>15337.92</v>
      </c>
      <c r="J45" s="205">
        <f>'ROLL+VL BAS TL+NI'!D8</f>
        <v>15415.439999999999</v>
      </c>
      <c r="K45" s="205">
        <f>'ROLL+VL BAS TL+NI'!E8</f>
        <v>15672.96</v>
      </c>
      <c r="M45" s="171" t="str">
        <f>'ROLL+VL ILR TL+NI'!A8</f>
        <v>juin</v>
      </c>
      <c r="N45" s="205">
        <f>'ROLL+VL ILR TL+NI'!B8</f>
        <v>5094</v>
      </c>
      <c r="O45" s="205">
        <f>'ROLL+VL ILR TL+NI'!C8</f>
        <v>6614.4</v>
      </c>
      <c r="P45" s="205">
        <f>'ROLL+VL ILR TL+NI'!D8</f>
        <v>7666.08</v>
      </c>
      <c r="Q45" s="205">
        <f>'ROLL+VL ILR TL+NI'!E8</f>
        <v>6399.12</v>
      </c>
      <c r="S45" s="171" t="str">
        <f>'ROLL+VL PVE TL+NI '!A8</f>
        <v>juin</v>
      </c>
      <c r="T45" s="205">
        <f>'ROLL+VL PVE TL+NI '!B8</f>
        <v>0</v>
      </c>
      <c r="U45" s="205">
        <f>'ROLL+VL PVE TL+NI '!C8</f>
        <v>0</v>
      </c>
      <c r="V45" s="205">
        <f>'ROLL+VL PVE TL+NI '!D8</f>
        <v>980.88</v>
      </c>
      <c r="W45" s="205">
        <f>'ROLL+VL PVE TL+NI '!E8</f>
        <v>1079.04</v>
      </c>
    </row>
    <row r="46" spans="1:23" x14ac:dyDescent="0.25">
      <c r="A46" s="171" t="str">
        <f>'ROLL+VL AJA TL+NI '!A9</f>
        <v>juil</v>
      </c>
      <c r="B46" s="205">
        <f>'ROLL+VL AJA TL+NI '!B9</f>
        <v>26056.799999999999</v>
      </c>
      <c r="C46" s="205">
        <f>'ROLL+VL AJA TL+NI '!C9</f>
        <v>25102.32</v>
      </c>
      <c r="D46" s="205">
        <f>'ROLL+VL AJA TL+NI '!D9</f>
        <v>28835.760000000002</v>
      </c>
      <c r="E46" s="205">
        <f>'ROLL+VL AJA TL+NI '!E9</f>
        <v>29415.84</v>
      </c>
      <c r="G46" s="171" t="str">
        <f>'ROLL+VL BAS TL+NI'!A9</f>
        <v>juil</v>
      </c>
      <c r="H46" s="205">
        <f>'ROLL+VL BAS TL+NI'!B9</f>
        <v>16309.68</v>
      </c>
      <c r="I46" s="205">
        <f>'ROLL+VL BAS TL+NI'!C9</f>
        <v>16007.28</v>
      </c>
      <c r="J46" s="205">
        <f>'ROLL+VL BAS TL+NI'!D9</f>
        <v>15558.719999999998</v>
      </c>
      <c r="K46" s="205">
        <f>'ROLL+VL BAS TL+NI'!E9</f>
        <v>17665.199999999997</v>
      </c>
      <c r="M46" s="171" t="str">
        <f>'ROLL+VL ILR TL+NI'!A9</f>
        <v>juil</v>
      </c>
      <c r="N46" s="205">
        <f>'ROLL+VL ILR TL+NI'!B9</f>
        <v>13283.52</v>
      </c>
      <c r="O46" s="205">
        <f>'ROLL+VL ILR TL+NI'!C9</f>
        <v>12774.96</v>
      </c>
      <c r="P46" s="205">
        <f>'ROLL+VL ILR TL+NI'!D9</f>
        <v>12359.519999999999</v>
      </c>
      <c r="Q46" s="205">
        <f>'ROLL+VL ILR TL+NI'!E9</f>
        <v>11340.96</v>
      </c>
      <c r="S46" s="171" t="str">
        <f>'ROLL+VL PVE TL+NI '!A9</f>
        <v>juil</v>
      </c>
      <c r="T46" s="205">
        <f>'ROLL+VL PVE TL+NI '!B9</f>
        <v>0</v>
      </c>
      <c r="U46" s="205">
        <f>'ROLL+VL PVE TL+NI '!C9</f>
        <v>0</v>
      </c>
      <c r="V46" s="205">
        <f>'ROLL+VL PVE TL+NI '!D9</f>
        <v>171.11999999999998</v>
      </c>
      <c r="W46" s="205">
        <f>'ROLL+VL PVE TL+NI '!E9</f>
        <v>1119.1200000000001</v>
      </c>
    </row>
    <row r="47" spans="1:23" x14ac:dyDescent="0.25">
      <c r="A47" s="171" t="str">
        <f>'ROLL+VL AJA TL+NI '!A10</f>
        <v>aou</v>
      </c>
      <c r="B47" s="205">
        <f>'ROLL+VL AJA TL+NI '!B10</f>
        <v>25609.439999999999</v>
      </c>
      <c r="C47" s="205">
        <f>'ROLL+VL AJA TL+NI '!C10</f>
        <v>26082.719999999998</v>
      </c>
      <c r="D47" s="205">
        <f>'ROLL+VL AJA TL+NI '!D10</f>
        <v>29268.239999999998</v>
      </c>
      <c r="E47" s="205">
        <f>'ROLL+VL AJA TL+NI '!E10</f>
        <v>33849.119999999995</v>
      </c>
      <c r="G47" s="171" t="str">
        <f>'ROLL+VL BAS TL+NI'!A10</f>
        <v>aou</v>
      </c>
      <c r="H47" s="205">
        <f>'ROLL+VL BAS TL+NI'!B10</f>
        <v>15672</v>
      </c>
      <c r="I47" s="205">
        <f>'ROLL+VL BAS TL+NI'!C10</f>
        <v>16775.28</v>
      </c>
      <c r="J47" s="205">
        <f>'ROLL+VL BAS TL+NI'!D10</f>
        <v>15506.160000000002</v>
      </c>
      <c r="K47" s="205">
        <f>'ROLL+VL BAS TL+NI'!E10</f>
        <v>17430.719999999998</v>
      </c>
      <c r="M47" s="171" t="str">
        <f>'ROLL+VL ILR TL+NI'!A10</f>
        <v>aou</v>
      </c>
      <c r="N47" s="205">
        <f>'ROLL+VL ILR TL+NI'!B10</f>
        <v>13185.599999999999</v>
      </c>
      <c r="O47" s="205">
        <f>'ROLL+VL ILR TL+NI'!C10</f>
        <v>16327.68</v>
      </c>
      <c r="P47" s="205">
        <f>'ROLL+VL ILR TL+NI'!D10</f>
        <v>13189.68</v>
      </c>
      <c r="Q47" s="205">
        <f>'ROLL+VL ILR TL+NI'!E10</f>
        <v>12214.559999999998</v>
      </c>
      <c r="S47" s="171" t="str">
        <f>'ROLL+VL PVE TL+NI '!A10</f>
        <v>aou</v>
      </c>
      <c r="T47" s="205">
        <f>'ROLL+VL PVE TL+NI '!B10</f>
        <v>0</v>
      </c>
      <c r="U47" s="205">
        <f>'ROLL+VL PVE TL+NI '!C10</f>
        <v>0</v>
      </c>
      <c r="V47" s="205">
        <f>'ROLL+VL PVE TL+NI '!D10</f>
        <v>1131.1199999999999</v>
      </c>
      <c r="W47" s="205">
        <f>'ROLL+VL PVE TL+NI '!E10</f>
        <v>960</v>
      </c>
    </row>
    <row r="48" spans="1:23" x14ac:dyDescent="0.25">
      <c r="A48" s="171" t="str">
        <f>'ROLL+VL AJA TL+NI '!A11</f>
        <v>sep</v>
      </c>
      <c r="B48" s="205">
        <f>'ROLL+VL AJA TL+NI '!B11</f>
        <v>23783.52</v>
      </c>
      <c r="C48" s="205">
        <f>'ROLL+VL AJA TL+NI '!C11</f>
        <v>24101.279999999999</v>
      </c>
      <c r="D48" s="205">
        <f>'ROLL+VL AJA TL+NI '!D11</f>
        <v>23470.559999999998</v>
      </c>
      <c r="E48" s="205">
        <f>'ROLL+VL AJA TL+NI '!E11</f>
        <v>23807.279999999999</v>
      </c>
      <c r="G48" s="171" t="str">
        <f>'ROLL+VL BAS TL+NI'!A11</f>
        <v>sep</v>
      </c>
      <c r="H48" s="205">
        <f>'ROLL+VL BAS TL+NI'!B11</f>
        <v>15204.96</v>
      </c>
      <c r="I48" s="205">
        <f>'ROLL+VL BAS TL+NI'!C11</f>
        <v>14560.8</v>
      </c>
      <c r="J48" s="205">
        <f>'ROLL+VL BAS TL+NI'!D11</f>
        <v>15136.559999999998</v>
      </c>
      <c r="K48" s="205">
        <f>'ROLL+VL BAS TL+NI'!E11</f>
        <v>23721.120000000003</v>
      </c>
      <c r="M48" s="171" t="str">
        <f>'ROLL+VL ILR TL+NI'!A11</f>
        <v>sep</v>
      </c>
      <c r="N48" s="205">
        <f>'ROLL+VL ILR TL+NI'!B11</f>
        <v>3462.24</v>
      </c>
      <c r="O48" s="205">
        <f>'ROLL+VL ILR TL+NI'!C11</f>
        <v>3396</v>
      </c>
      <c r="P48" s="205">
        <f>'ROLL+VL ILR TL+NI'!D11</f>
        <v>6376.7999999999993</v>
      </c>
      <c r="Q48" s="205">
        <f>'ROLL+VL ILR TL+NI'!E11</f>
        <v>5796.24</v>
      </c>
      <c r="S48" s="171" t="str">
        <f>'ROLL+VL PVE TL+NI '!A11</f>
        <v>sep</v>
      </c>
      <c r="T48" s="205">
        <f>'ROLL+VL PVE TL+NI '!B11</f>
        <v>0</v>
      </c>
      <c r="U48" s="205">
        <f>'ROLL+VL PVE TL+NI '!C11</f>
        <v>0</v>
      </c>
      <c r="V48" s="205">
        <f>'ROLL+VL PVE TL+NI '!D11</f>
        <v>743.76</v>
      </c>
      <c r="W48" s="205">
        <f>'ROLL+VL PVE TL+NI '!E11</f>
        <v>1079.04</v>
      </c>
    </row>
    <row r="49" spans="1:23" x14ac:dyDescent="0.25">
      <c r="A49" s="171" t="str">
        <f>'ROLL+VL AJA TL+NI '!A12</f>
        <v>oct</v>
      </c>
      <c r="B49" s="205">
        <f>'ROLL+VL AJA TL+NI '!B12</f>
        <v>25429.199999999997</v>
      </c>
      <c r="C49" s="205">
        <f>'ROLL+VL AJA TL+NI '!C12</f>
        <v>26583.200000000001</v>
      </c>
      <c r="D49" s="205">
        <f>'ROLL+VL AJA TL+NI '!D12</f>
        <v>27317.599999999999</v>
      </c>
      <c r="E49" s="205">
        <f>'ROLL+VL AJA TL+NI '!E12</f>
        <v>33229.199999999997</v>
      </c>
      <c r="G49" s="171" t="str">
        <f>'ROLL+VL BAS TL+NI'!A12</f>
        <v>oct</v>
      </c>
      <c r="H49" s="205">
        <f>'ROLL+VL BAS TL+NI'!B12</f>
        <v>24497.200000000001</v>
      </c>
      <c r="I49" s="205">
        <f>'ROLL+VL BAS TL+NI'!C12</f>
        <v>27798</v>
      </c>
      <c r="J49" s="205">
        <f>'ROLL+VL BAS TL+NI'!D12</f>
        <v>23096</v>
      </c>
      <c r="K49" s="205">
        <f>'ROLL+VL BAS TL+NI'!E12</f>
        <v>36506.800000000003</v>
      </c>
      <c r="M49" s="171" t="str">
        <f>'ROLL+VL ILR TL+NI'!A12</f>
        <v>oct</v>
      </c>
      <c r="N49" s="205">
        <f>'ROLL+VL ILR TL+NI'!B12</f>
        <v>3288.8</v>
      </c>
      <c r="O49" s="205">
        <f>'ROLL+VL ILR TL+NI'!C12</f>
        <v>680.80000000000007</v>
      </c>
      <c r="P49" s="205">
        <f>'ROLL+VL ILR TL+NI'!D12</f>
        <v>2621.6</v>
      </c>
      <c r="Q49" s="205">
        <f>'ROLL+VL ILR TL+NI'!E12</f>
        <v>4262.4000000000005</v>
      </c>
      <c r="S49" s="171" t="str">
        <f>'ROLL+VL PVE TL+NI '!A12</f>
        <v>oct</v>
      </c>
      <c r="T49" s="205">
        <f>'ROLL+VL PVE TL+NI '!B12</f>
        <v>0</v>
      </c>
      <c r="U49" s="205">
        <f>'ROLL+VL PVE TL+NI '!C12</f>
        <v>0</v>
      </c>
      <c r="V49" s="205">
        <f>'ROLL+VL PVE TL+NI '!D12</f>
        <v>9015.1999999999989</v>
      </c>
      <c r="W49" s="205">
        <f>'ROLL+VL PVE TL+NI '!E12</f>
        <v>855.59999999999991</v>
      </c>
    </row>
    <row r="50" spans="1:23" x14ac:dyDescent="0.25">
      <c r="A50" s="171" t="str">
        <f>'ROLL+VL AJA TL+NI '!A13</f>
        <v>nov</v>
      </c>
      <c r="B50" s="205">
        <f>'ROLL+VL AJA TL+NI '!B13</f>
        <v>19898.8</v>
      </c>
      <c r="C50" s="205">
        <f>'ROLL+VL AJA TL+NI '!C13</f>
        <v>19383.599999999999</v>
      </c>
      <c r="D50" s="205">
        <f>'ROLL+VL AJA TL+NI '!D13</f>
        <v>22023.200000000001</v>
      </c>
      <c r="E50" s="205">
        <f>'ROLL+VL AJA TL+NI '!E13</f>
        <v>0</v>
      </c>
      <c r="G50" s="171" t="str">
        <f>'ROLL+VL BAS TL+NI'!A13</f>
        <v>nov</v>
      </c>
      <c r="H50" s="205">
        <f>'ROLL+VL BAS TL+NI'!B13</f>
        <v>28542.800000000003</v>
      </c>
      <c r="I50" s="205">
        <f>'ROLL+VL BAS TL+NI'!C13</f>
        <v>29007.200000000001</v>
      </c>
      <c r="J50" s="205">
        <f>'ROLL+VL BAS TL+NI'!D13</f>
        <v>26162</v>
      </c>
      <c r="K50" s="205">
        <f>'ROLL+VL BAS TL+NI'!E13</f>
        <v>0</v>
      </c>
      <c r="M50" s="171" t="str">
        <f>'ROLL+VL ILR TL+NI'!A13</f>
        <v>nov</v>
      </c>
      <c r="N50" s="205">
        <f>'ROLL+VL ILR TL+NI'!B13</f>
        <v>5896.8</v>
      </c>
      <c r="O50" s="205">
        <f>'ROLL+VL ILR TL+NI'!C13</f>
        <v>0</v>
      </c>
      <c r="P50" s="205">
        <f>'ROLL+VL ILR TL+NI'!D13</f>
        <v>0</v>
      </c>
      <c r="Q50" s="205">
        <f>'ROLL+VL ILR TL+NI'!E13</f>
        <v>0</v>
      </c>
      <c r="S50" s="171" t="str">
        <f>'ROLL+VL PVE TL+NI '!A13</f>
        <v>nov</v>
      </c>
      <c r="T50" s="205">
        <f>'ROLL+VL PVE TL+NI '!B13</f>
        <v>0</v>
      </c>
      <c r="U50" s="205">
        <f>'ROLL+VL PVE TL+NI '!C13</f>
        <v>0</v>
      </c>
      <c r="V50" s="205">
        <f>'ROLL+VL PVE TL+NI '!D13</f>
        <v>614</v>
      </c>
      <c r="W50" s="205">
        <f>'ROLL+VL PVE TL+NI '!E13</f>
        <v>0</v>
      </c>
    </row>
    <row r="51" spans="1:23" x14ac:dyDescent="0.25">
      <c r="A51" s="171" t="str">
        <f>'ROLL+VL AJA TL+NI '!A14</f>
        <v>déc</v>
      </c>
      <c r="B51" s="205">
        <f>'ROLL+VL AJA TL+NI '!B14</f>
        <v>22058.800000000003</v>
      </c>
      <c r="C51" s="205">
        <f>'ROLL+VL AJA TL+NI '!C14</f>
        <v>23727.600000000002</v>
      </c>
      <c r="D51" s="205">
        <f>'ROLL+VL AJA TL+NI '!D14</f>
        <v>27845.200000000001</v>
      </c>
      <c r="E51" s="205">
        <f>'ROLL+VL AJA TL+NI '!E14</f>
        <v>0</v>
      </c>
      <c r="G51" s="171" t="str">
        <f>'ROLL+VL BAS TL+NI'!A14</f>
        <v>déc</v>
      </c>
      <c r="H51" s="205">
        <f>'ROLL+VL BAS TL+NI'!B14</f>
        <v>26172.400000000001</v>
      </c>
      <c r="I51" s="205">
        <f>'ROLL+VL BAS TL+NI'!C14</f>
        <v>25776.799999999996</v>
      </c>
      <c r="J51" s="205">
        <f>'ROLL+VL BAS TL+NI'!D14</f>
        <v>24662</v>
      </c>
      <c r="K51" s="205">
        <f>'ROLL+VL BAS TL+NI'!E14</f>
        <v>0</v>
      </c>
      <c r="M51" s="171" t="str">
        <f>'ROLL+VL ILR TL+NI'!A14</f>
        <v>déc</v>
      </c>
      <c r="N51" s="205">
        <f>'ROLL+VL ILR TL+NI'!B14</f>
        <v>5216</v>
      </c>
      <c r="O51" s="205">
        <f>'ROLL+VL ILR TL+NI'!C14</f>
        <v>0</v>
      </c>
      <c r="P51" s="205">
        <f>'ROLL+VL ILR TL+NI'!D14</f>
        <v>1140.8</v>
      </c>
      <c r="Q51" s="205">
        <f>'ROLL+VL ILR TL+NI'!E14</f>
        <v>0</v>
      </c>
      <c r="S51" s="171" t="str">
        <f>'ROLL+VL PVE TL+NI '!A14</f>
        <v>déc</v>
      </c>
      <c r="T51" s="205">
        <f>'ROLL+VL PVE TL+NI '!B14</f>
        <v>0</v>
      </c>
      <c r="U51" s="205">
        <f>'ROLL+VL PVE TL+NI '!C14</f>
        <v>0</v>
      </c>
      <c r="V51" s="205">
        <f>'ROLL+VL PVE TL+NI '!D14</f>
        <v>3137.2</v>
      </c>
      <c r="W51" s="205">
        <f>'ROLL+VL PVE TL+NI '!E14</f>
        <v>0</v>
      </c>
    </row>
    <row r="52" spans="1:23" x14ac:dyDescent="0.25">
      <c r="A52" s="171" t="str">
        <f>'ROLL+VL AJA TL+NI '!A15</f>
        <v>TOTAL</v>
      </c>
      <c r="B52" s="205">
        <f>'ROLL+VL AJA TL+NI '!B15</f>
        <v>297484.71999999991</v>
      </c>
      <c r="C52" s="205">
        <f>'ROLL+VL AJA TL+NI '!C15</f>
        <v>299547.75999999995</v>
      </c>
      <c r="D52" s="205">
        <f>'ROLL+VL AJA TL+NI '!D15</f>
        <v>310853.2</v>
      </c>
      <c r="E52" s="205">
        <f>'ROLL+VL AJA TL+NI '!E15</f>
        <v>266863.76</v>
      </c>
      <c r="G52" s="171" t="str">
        <f>'ROLL+VL BAS TL+NI'!A15</f>
        <v>TOTAL</v>
      </c>
      <c r="H52" s="205">
        <f>'ROLL+VL BAS TL+NI'!B15</f>
        <v>261654.87999999998</v>
      </c>
      <c r="I52" s="205">
        <f>'ROLL+VL BAS TL+NI'!C15</f>
        <v>258301.28</v>
      </c>
      <c r="J52" s="205">
        <f>'ROLL+VL BAS TL+NI'!D15</f>
        <v>249063.52</v>
      </c>
      <c r="K52" s="205">
        <f>'ROLL+VL BAS TL+NI'!E15</f>
        <v>218929.28000000003</v>
      </c>
      <c r="M52" s="171" t="str">
        <f>'ROLL+VL ILR TL+NI'!A15</f>
        <v>TOTAL</v>
      </c>
      <c r="N52" s="205">
        <f>'ROLL+VL ILR TL+NI'!B15</f>
        <v>59618.32</v>
      </c>
      <c r="O52" s="205">
        <f>'ROLL+VL ILR TL+NI'!C15</f>
        <v>55540.800000000003</v>
      </c>
      <c r="P52" s="205">
        <f>'ROLL+VL ILR TL+NI'!D15</f>
        <v>52711.840000000004</v>
      </c>
      <c r="Q52" s="205">
        <f>'ROLL+VL ILR TL+NI'!E15</f>
        <v>54025.599999999991</v>
      </c>
      <c r="S52" s="171" t="str">
        <f>'ROLL+VL PVE TL+NI '!A15</f>
        <v>TOTAL</v>
      </c>
      <c r="T52" s="205">
        <f>'ROLL+VL PVE TL+NI '!B15</f>
        <v>1304</v>
      </c>
      <c r="U52" s="205">
        <f>'ROLL+VL PVE TL+NI '!C15</f>
        <v>0</v>
      </c>
      <c r="V52" s="205">
        <f>'ROLL+VL PVE TL+NI '!D15</f>
        <v>16133.68</v>
      </c>
      <c r="W52" s="205">
        <f>'ROLL+VL PVE TL+NI '!E15</f>
        <v>6696.7999999999993</v>
      </c>
    </row>
    <row r="53" spans="1:23" x14ac:dyDescent="0.25">
      <c r="A53" s="118" t="str">
        <f>'ROLL+VL AJA TL+NI '!A16</f>
        <v>Source :  Capitainerie Port de Toulon</v>
      </c>
      <c r="B53" s="118"/>
      <c r="C53" s="118"/>
      <c r="D53" s="118"/>
      <c r="E53" s="118"/>
      <c r="G53" s="118" t="str">
        <f>'ROLL+VL BAS TL+NI'!A16</f>
        <v>Source :  Capitainerie Port de Toulon</v>
      </c>
      <c r="H53" s="194"/>
      <c r="I53" s="194"/>
      <c r="J53" s="194"/>
      <c r="K53" s="195"/>
      <c r="M53" s="118" t="str">
        <f>'ROLL+VL ILR TL+NI'!A16</f>
        <v>Source :  Capitainerie Port de Toulon</v>
      </c>
      <c r="N53" s="194"/>
      <c r="O53" s="194"/>
      <c r="P53" s="194"/>
      <c r="Q53" s="195"/>
      <c r="S53" s="118" t="str">
        <f>'ROLL+VL PVE TL+NI '!A16</f>
        <v>Source :  Capitainerie Port de Toulon</v>
      </c>
      <c r="T53" s="194"/>
      <c r="U53" s="194"/>
      <c r="V53" s="194"/>
      <c r="W53" s="195"/>
    </row>
    <row r="55" spans="1:23" x14ac:dyDescent="0.25">
      <c r="A55" s="171" t="str">
        <f>'ROLL+VL AJA TL+NI '!A106</f>
        <v>CAPACITE VL  AJACCIO TOULON</v>
      </c>
      <c r="B55" s="118"/>
      <c r="C55" s="118"/>
      <c r="D55" s="118"/>
      <c r="E55" s="118"/>
      <c r="G55" s="193" t="str">
        <f>'ROLL+VL BAS TL+NI'!A106</f>
        <v>CAPACITE VL  BASTIA TOULON</v>
      </c>
      <c r="H55" s="194"/>
      <c r="I55" s="194"/>
      <c r="J55" s="194"/>
      <c r="K55" s="195"/>
      <c r="M55" s="193" t="str">
        <f>'ROLL+VL ILR TL+NI'!A106</f>
        <v>CAPACITE VL  ILE ROUSSE TOULON</v>
      </c>
      <c r="N55" s="194"/>
      <c r="O55" s="194"/>
      <c r="P55" s="194"/>
      <c r="Q55" s="195"/>
      <c r="S55" s="193" t="str">
        <f>'ROLL+VL PVE TL+NI '!A106</f>
        <v>CAPACITE VL  PORTO VECCHIO TOULON</v>
      </c>
      <c r="T55" s="194"/>
      <c r="U55" s="194"/>
      <c r="V55" s="194"/>
      <c r="W55" s="195"/>
    </row>
    <row r="56" spans="1:23" x14ac:dyDescent="0.25">
      <c r="A56" s="118"/>
      <c r="B56" s="20">
        <f>'ROLL+VL AJA TL+NI '!B107</f>
        <v>2014</v>
      </c>
      <c r="C56" s="20">
        <f>'ROLL+VL AJA TL+NI '!C107</f>
        <v>2015</v>
      </c>
      <c r="D56" s="20">
        <f>'ROLL+VL AJA TL+NI '!D107</f>
        <v>2016</v>
      </c>
      <c r="E56" s="20">
        <f>'ROLL+VL AJA TL+NI '!E107</f>
        <v>2017</v>
      </c>
      <c r="G56" s="192"/>
      <c r="H56" s="20">
        <f>'ROLL+VL BAS TL+NI'!B107</f>
        <v>2014</v>
      </c>
      <c r="I56" s="20">
        <f>'ROLL+VL BAS TL+NI'!C107</f>
        <v>2015</v>
      </c>
      <c r="J56" s="20">
        <f>'ROLL+VL BAS TL+NI'!D107</f>
        <v>2016</v>
      </c>
      <c r="K56" s="20">
        <f>'ROLL+VL BAS TL+NI'!E107</f>
        <v>2017</v>
      </c>
      <c r="M56" s="192"/>
      <c r="N56" s="20">
        <f>'ROLL+VL ILR TL+NI'!B107</f>
        <v>2014</v>
      </c>
      <c r="O56" s="20">
        <f>'ROLL+VL ILR TL+NI'!C107</f>
        <v>2015</v>
      </c>
      <c r="P56" s="20">
        <f>'ROLL+VL ILR TL+NI'!D107</f>
        <v>2016</v>
      </c>
      <c r="Q56" s="20">
        <f>'ROLL+VL ILR TL+NI'!E107</f>
        <v>2017</v>
      </c>
      <c r="S56" s="192"/>
      <c r="T56" s="20">
        <f>'ROLL+VL PVE TL+NI '!B107</f>
        <v>2014</v>
      </c>
      <c r="U56" s="20">
        <f>'ROLL+VL PVE TL+NI '!C107</f>
        <v>2015</v>
      </c>
      <c r="V56" s="20">
        <f>'ROLL+VL PVE TL+NI '!D107</f>
        <v>2016</v>
      </c>
      <c r="W56" s="20">
        <f>'ROLL+VL PVE TL+NI '!E107</f>
        <v>2017</v>
      </c>
    </row>
    <row r="57" spans="1:23" x14ac:dyDescent="0.25">
      <c r="A57" s="171" t="str">
        <f>'ROLL+VL AJA TL+NI '!A108</f>
        <v>jan</v>
      </c>
      <c r="B57" s="205">
        <f>'ROLL+VL AJA TL+NI '!B108</f>
        <v>29945.999999999993</v>
      </c>
      <c r="C57" s="205">
        <f>'ROLL+VL AJA TL+NI '!C108</f>
        <v>25953.199999999997</v>
      </c>
      <c r="D57" s="205">
        <f>'ROLL+VL AJA TL+NI '!D108</f>
        <v>26352.479999999996</v>
      </c>
      <c r="E57" s="205">
        <f>'ROLL+VL AJA TL+NI '!E108</f>
        <v>26352.479999999996</v>
      </c>
      <c r="G57" s="171" t="str">
        <f>'ROLL+VL BAS TL+NI'!A108</f>
        <v>jan</v>
      </c>
      <c r="H57" s="205">
        <f>'ROLL+VL BAS TL+NI'!B108</f>
        <v>29546.719999999998</v>
      </c>
      <c r="I57" s="205">
        <f>'ROLL+VL BAS TL+NI'!C108</f>
        <v>25953.199999999997</v>
      </c>
      <c r="J57" s="205">
        <f>'ROLL+VL BAS TL+NI'!D108</f>
        <v>27151.039999999997</v>
      </c>
      <c r="K57" s="205">
        <f>'ROLL+VL BAS TL+NI'!E108</f>
        <v>23956.799999999999</v>
      </c>
      <c r="M57" s="171" t="str">
        <f>'ROLL+VL ILR TL+NI'!A108</f>
        <v>jan</v>
      </c>
      <c r="N57" s="205">
        <f>'ROLL+VL ILR TL+NI'!B108</f>
        <v>0</v>
      </c>
      <c r="O57" s="205">
        <f>'ROLL+VL ILR TL+NI'!C108</f>
        <v>798.56</v>
      </c>
      <c r="P57" s="205">
        <f>'ROLL+VL ILR TL+NI'!D108</f>
        <v>0</v>
      </c>
      <c r="Q57" s="205">
        <f>'ROLL+VL ILR TL+NI'!E108</f>
        <v>798.56</v>
      </c>
      <c r="S57" s="171" t="str">
        <f>'ROLL+VL PVE TL+NI '!A108</f>
        <v>jan</v>
      </c>
      <c r="T57" s="205">
        <f>'ROLL+VL PVE TL+NI '!B108</f>
        <v>0</v>
      </c>
      <c r="U57" s="205">
        <f>'ROLL+VL PVE TL+NI '!C108</f>
        <v>0</v>
      </c>
      <c r="V57" s="205">
        <f>'ROLL+VL PVE TL+NI '!D108</f>
        <v>0</v>
      </c>
      <c r="W57" s="205">
        <f>'ROLL+VL PVE TL+NI '!E108</f>
        <v>0</v>
      </c>
    </row>
    <row r="58" spans="1:23" x14ac:dyDescent="0.25">
      <c r="A58" s="171" t="str">
        <f>'ROLL+VL AJA TL+NI '!A109</f>
        <v>fév</v>
      </c>
      <c r="B58" s="205">
        <f>'ROLL+VL AJA TL+NI '!B109</f>
        <v>22359.679999999993</v>
      </c>
      <c r="C58" s="205">
        <f>'ROLL+VL AJA TL+NI '!C109</f>
        <v>22758.959999999999</v>
      </c>
      <c r="D58" s="205">
        <f>'ROLL+VL AJA TL+NI '!D109</f>
        <v>24755.360000000001</v>
      </c>
      <c r="E58" s="205">
        <f>'ROLL+VL AJA TL+NI '!E109</f>
        <v>22359.68</v>
      </c>
      <c r="G58" s="171" t="str">
        <f>'ROLL+VL BAS TL+NI'!A109</f>
        <v>fév</v>
      </c>
      <c r="H58" s="205">
        <f>'ROLL+VL BAS TL+NI'!B109</f>
        <v>24356.079999999998</v>
      </c>
      <c r="I58" s="205">
        <f>'ROLL+VL BAS TL+NI'!C109</f>
        <v>23158.239999999998</v>
      </c>
      <c r="J58" s="205">
        <f>'ROLL+VL BAS TL+NI'!D109</f>
        <v>25553.919999999998</v>
      </c>
      <c r="K58" s="205">
        <f>'ROLL+VL BAS TL+NI'!E109</f>
        <v>23158.239999999998</v>
      </c>
      <c r="M58" s="171" t="str">
        <f>'ROLL+VL ILR TL+NI'!A109</f>
        <v>fév</v>
      </c>
      <c r="N58" s="205">
        <f>'ROLL+VL ILR TL+NI'!B109</f>
        <v>798.56</v>
      </c>
      <c r="O58" s="205">
        <f>'ROLL+VL ILR TL+NI'!C109</f>
        <v>3194.24</v>
      </c>
      <c r="P58" s="205">
        <f>'ROLL+VL ILR TL+NI'!D109</f>
        <v>0</v>
      </c>
      <c r="Q58" s="205">
        <f>'ROLL+VL ILR TL+NI'!E109</f>
        <v>798.56</v>
      </c>
      <c r="S58" s="171" t="str">
        <f>'ROLL+VL PVE TL+NI '!A109</f>
        <v>fév</v>
      </c>
      <c r="T58" s="205">
        <f>'ROLL+VL PVE TL+NI '!B109</f>
        <v>798.56</v>
      </c>
      <c r="U58" s="205">
        <f>'ROLL+VL PVE TL+NI '!C109</f>
        <v>0</v>
      </c>
      <c r="V58" s="205">
        <f>'ROLL+VL PVE TL+NI '!D109</f>
        <v>0</v>
      </c>
      <c r="W58" s="205">
        <f>'ROLL+VL PVE TL+NI '!E109</f>
        <v>0</v>
      </c>
    </row>
    <row r="59" spans="1:23" x14ac:dyDescent="0.25">
      <c r="A59" s="171" t="str">
        <f>'ROLL+VL AJA TL+NI '!A110</f>
        <v>mar</v>
      </c>
      <c r="B59" s="205">
        <f>'ROLL+VL AJA TL+NI '!B110</f>
        <v>24755.360000000001</v>
      </c>
      <c r="C59" s="205">
        <f>'ROLL+VL AJA TL+NI '!C110</f>
        <v>24755.359999999997</v>
      </c>
      <c r="D59" s="205">
        <f>'ROLL+VL AJA TL+NI '!D110</f>
        <v>26352.479999999996</v>
      </c>
      <c r="E59" s="205">
        <f>'ROLL+VL AJA TL+NI '!E110</f>
        <v>24755.360000000001</v>
      </c>
      <c r="G59" s="171" t="str">
        <f>'ROLL+VL BAS TL+NI'!A110</f>
        <v>mar</v>
      </c>
      <c r="H59" s="205">
        <f>'ROLL+VL BAS TL+NI'!B110</f>
        <v>26751.759999999998</v>
      </c>
      <c r="I59" s="205">
        <f>'ROLL+VL BAS TL+NI'!C110</f>
        <v>25553.919999999998</v>
      </c>
      <c r="J59" s="205">
        <f>'ROLL+VL BAS TL+NI'!D110</f>
        <v>25553.920000000002</v>
      </c>
      <c r="K59" s="205">
        <f>'ROLL+VL BAS TL+NI'!E110</f>
        <v>26352.48</v>
      </c>
      <c r="M59" s="171" t="str">
        <f>'ROLL+VL ILR TL+NI'!A110</f>
        <v>mar</v>
      </c>
      <c r="N59" s="205">
        <f>'ROLL+VL ILR TL+NI'!B110</f>
        <v>0</v>
      </c>
      <c r="O59" s="205">
        <f>'ROLL+VL ILR TL+NI'!C110</f>
        <v>1597.12</v>
      </c>
      <c r="P59" s="205">
        <f>'ROLL+VL ILR TL+NI'!D110</f>
        <v>0</v>
      </c>
      <c r="Q59" s="205">
        <f>'ROLL+VL ILR TL+NI'!E110</f>
        <v>0</v>
      </c>
      <c r="S59" s="171" t="str">
        <f>'ROLL+VL PVE TL+NI '!A110</f>
        <v>mar</v>
      </c>
      <c r="T59" s="205">
        <f>'ROLL+VL PVE TL+NI '!B110</f>
        <v>0</v>
      </c>
      <c r="U59" s="205">
        <f>'ROLL+VL PVE TL+NI '!C110</f>
        <v>0</v>
      </c>
      <c r="V59" s="205">
        <f>'ROLL+VL PVE TL+NI '!D110</f>
        <v>0</v>
      </c>
      <c r="W59" s="205">
        <f>'ROLL+VL PVE TL+NI '!E110</f>
        <v>0</v>
      </c>
    </row>
    <row r="60" spans="1:23" x14ac:dyDescent="0.25">
      <c r="A60" s="171" t="str">
        <f>'ROLL+VL AJA TL+NI '!A111</f>
        <v>avr</v>
      </c>
      <c r="B60" s="205">
        <f>'ROLL+VL AJA TL+NI '!B111</f>
        <v>78544.079999999987</v>
      </c>
      <c r="C60" s="205">
        <f>'ROLL+VL AJA TL+NI '!C111</f>
        <v>79513.760000000009</v>
      </c>
      <c r="D60" s="205">
        <f>'ROLL+VL AJA TL+NI '!D111</f>
        <v>93089.279999999984</v>
      </c>
      <c r="E60" s="205">
        <f>'ROLL+VL AJA TL+NI '!E111</f>
        <v>85331.839999999982</v>
      </c>
      <c r="G60" s="171" t="str">
        <f>'ROLL+VL BAS TL+NI'!A111</f>
        <v>avr</v>
      </c>
      <c r="H60" s="205">
        <f>'ROLL+VL BAS TL+NI'!B111</f>
        <v>57211.119999999995</v>
      </c>
      <c r="I60" s="205">
        <f>'ROLL+VL BAS TL+NI'!C111</f>
        <v>60120.159999999996</v>
      </c>
      <c r="J60" s="205">
        <f>'ROLL+VL BAS TL+NI'!D111</f>
        <v>62059.519999999982</v>
      </c>
      <c r="K60" s="205">
        <f>'ROLL+VL BAS TL+NI'!E111</f>
        <v>65938.239999999991</v>
      </c>
      <c r="M60" s="171" t="str">
        <f>'ROLL+VL ILR TL+NI'!A111</f>
        <v>avr</v>
      </c>
      <c r="N60" s="205">
        <f>'ROLL+VL ILR TL+NI'!B111</f>
        <v>7757.44</v>
      </c>
      <c r="O60" s="205">
        <f>'ROLL+VL ILR TL+NI'!C111</f>
        <v>6787.7599999999993</v>
      </c>
      <c r="P60" s="205">
        <f>'ROLL+VL ILR TL+NI'!D111</f>
        <v>17454.239999999998</v>
      </c>
      <c r="Q60" s="205">
        <f>'ROLL+VL ILR TL+NI'!E111</f>
        <v>15514.88</v>
      </c>
      <c r="S60" s="171" t="str">
        <f>'ROLL+VL PVE TL+NI '!A111</f>
        <v>avr</v>
      </c>
      <c r="T60" s="205">
        <f>'ROLL+VL PVE TL+NI '!B111</f>
        <v>0</v>
      </c>
      <c r="U60" s="205">
        <f>'ROLL+VL PVE TL+NI '!C111</f>
        <v>0</v>
      </c>
      <c r="V60" s="205">
        <f>'ROLL+VL PVE TL+NI '!D111</f>
        <v>0</v>
      </c>
      <c r="W60" s="205">
        <f>'ROLL+VL PVE TL+NI '!E111</f>
        <v>5818.079999999999</v>
      </c>
    </row>
    <row r="61" spans="1:23" x14ac:dyDescent="0.25">
      <c r="A61" s="171" t="str">
        <f>'ROLL+VL AJA TL+NI '!A112</f>
        <v>mai</v>
      </c>
      <c r="B61" s="205">
        <f>'ROLL+VL AJA TL+NI '!B112</f>
        <v>101816.4</v>
      </c>
      <c r="C61" s="205">
        <f>'ROLL+VL AJA TL+NI '!C112</f>
        <v>96967.999999999985</v>
      </c>
      <c r="D61" s="205">
        <f>'ROLL+VL AJA TL+NI '!D112</f>
        <v>83392.479999999981</v>
      </c>
      <c r="E61" s="205">
        <f>'ROLL+VL AJA TL+NI '!E112</f>
        <v>87271.2</v>
      </c>
      <c r="G61" s="171" t="str">
        <f>'ROLL+VL BAS TL+NI'!A112</f>
        <v>mai</v>
      </c>
      <c r="H61" s="205">
        <f>'ROLL+VL BAS TL+NI'!B112</f>
        <v>63029.2</v>
      </c>
      <c r="I61" s="205">
        <f>'ROLL+VL BAS TL+NI'!C112</f>
        <v>68847.28</v>
      </c>
      <c r="J61" s="205">
        <f>'ROLL+VL BAS TL+NI'!D112</f>
        <v>67877.599999999991</v>
      </c>
      <c r="K61" s="205">
        <f>'ROLL+VL BAS TL+NI'!E112</f>
        <v>65938.239999999991</v>
      </c>
      <c r="M61" s="171" t="str">
        <f>'ROLL+VL ILR TL+NI'!A112</f>
        <v>mai</v>
      </c>
      <c r="N61" s="205">
        <f>'ROLL+VL ILR TL+NI'!B112</f>
        <v>19393.599999999999</v>
      </c>
      <c r="O61" s="205">
        <f>'ROLL+VL ILR TL+NI'!C112</f>
        <v>13575.519999999999</v>
      </c>
      <c r="P61" s="205">
        <f>'ROLL+VL ILR TL+NI'!D112</f>
        <v>11636.16</v>
      </c>
      <c r="Q61" s="205">
        <f>'ROLL+VL ILR TL+NI'!E112</f>
        <v>19393.599999999999</v>
      </c>
      <c r="S61" s="171" t="str">
        <f>'ROLL+VL PVE TL+NI '!A112</f>
        <v>mai</v>
      </c>
      <c r="T61" s="205">
        <f>'ROLL+VL PVE TL+NI '!B112</f>
        <v>0</v>
      </c>
      <c r="U61" s="205">
        <f>'ROLL+VL PVE TL+NI '!C112</f>
        <v>0</v>
      </c>
      <c r="V61" s="205">
        <f>'ROLL+VL PVE TL+NI '!D112</f>
        <v>0</v>
      </c>
      <c r="W61" s="205">
        <f>'ROLL+VL PVE TL+NI '!E112</f>
        <v>3878.72</v>
      </c>
    </row>
    <row r="62" spans="1:23" x14ac:dyDescent="0.25">
      <c r="A62" s="171" t="str">
        <f>'ROLL+VL AJA TL+NI '!A113</f>
        <v>juin</v>
      </c>
      <c r="B62" s="205">
        <f>'ROLL+VL AJA TL+NI '!B113</f>
        <v>110543.51999999999</v>
      </c>
      <c r="C62" s="205">
        <f>'ROLL+VL AJA TL+NI '!C113</f>
        <v>115391.91999999998</v>
      </c>
      <c r="D62" s="205">
        <f>'ROLL+VL AJA TL+NI '!D113</f>
        <v>106664.79999999999</v>
      </c>
      <c r="E62" s="205">
        <f>'ROLL+VL AJA TL+NI '!E113</f>
        <v>95028.64</v>
      </c>
      <c r="G62" s="171" t="str">
        <f>'ROLL+VL BAS TL+NI'!A113</f>
        <v>juin</v>
      </c>
      <c r="H62" s="205">
        <f>'ROLL+VL BAS TL+NI'!B113</f>
        <v>57211.119999999995</v>
      </c>
      <c r="I62" s="205">
        <f>'ROLL+VL BAS TL+NI'!C113</f>
        <v>58180.799999999996</v>
      </c>
      <c r="J62" s="205">
        <f>'ROLL+VL BAS TL+NI'!D113</f>
        <v>71756.319999999992</v>
      </c>
      <c r="K62" s="205">
        <f>'ROLL+VL BAS TL+NI'!E113</f>
        <v>69816.959999999992</v>
      </c>
      <c r="M62" s="171" t="str">
        <f>'ROLL+VL ILR TL+NI'!A113</f>
        <v>juin</v>
      </c>
      <c r="N62" s="205">
        <f>'ROLL+VL ILR TL+NI'!B113</f>
        <v>18423.919999999998</v>
      </c>
      <c r="O62" s="205">
        <f>'ROLL+VL ILR TL+NI'!C113</f>
        <v>24242</v>
      </c>
      <c r="P62" s="205">
        <f>'ROLL+VL ILR TL+NI'!D113</f>
        <v>25211.679999999997</v>
      </c>
      <c r="Q62" s="205">
        <f>'ROLL+VL ILR TL+NI'!E113</f>
        <v>21332.959999999995</v>
      </c>
      <c r="S62" s="171" t="str">
        <f>'ROLL+VL PVE TL+NI '!A113</f>
        <v>juin</v>
      </c>
      <c r="T62" s="205">
        <f>'ROLL+VL PVE TL+NI '!B113</f>
        <v>0</v>
      </c>
      <c r="U62" s="205">
        <f>'ROLL+VL PVE TL+NI '!C113</f>
        <v>0</v>
      </c>
      <c r="V62" s="205">
        <f>'ROLL+VL PVE TL+NI '!D113</f>
        <v>5818.079999999999</v>
      </c>
      <c r="W62" s="205">
        <f>'ROLL+VL PVE TL+NI '!E113</f>
        <v>3878.72</v>
      </c>
    </row>
    <row r="63" spans="1:23" x14ac:dyDescent="0.25">
      <c r="A63" s="171" t="str">
        <f>'ROLL+VL AJA TL+NI '!A114</f>
        <v>juil</v>
      </c>
      <c r="B63" s="205">
        <f>'ROLL+VL AJA TL+NI '!B114</f>
        <v>120240.31999999999</v>
      </c>
      <c r="C63" s="205">
        <f>'ROLL+VL AJA TL+NI '!C114</f>
        <v>115391.92</v>
      </c>
      <c r="D63" s="205">
        <f>'ROLL+VL AJA TL+NI '!D114</f>
        <v>122179.68000000001</v>
      </c>
      <c r="E63" s="205">
        <f>'ROLL+VL AJA TL+NI '!E114</f>
        <v>127997.75999999999</v>
      </c>
      <c r="G63" s="171" t="str">
        <f>'ROLL+VL BAS TL+NI'!A114</f>
        <v>juil</v>
      </c>
      <c r="H63" s="205">
        <f>'ROLL+VL BAS TL+NI'!B114</f>
        <v>61089.84</v>
      </c>
      <c r="I63" s="205">
        <f>'ROLL+VL BAS TL+NI'!C114</f>
        <v>60120.159999999996</v>
      </c>
      <c r="J63" s="205">
        <f>'ROLL+VL BAS TL+NI'!D114</f>
        <v>63998.879999999997</v>
      </c>
      <c r="K63" s="205">
        <f>'ROLL+VL BAS TL+NI'!E114</f>
        <v>75635.039999999994</v>
      </c>
      <c r="M63" s="171" t="str">
        <f>'ROLL+VL ILR TL+NI'!A114</f>
        <v>juil</v>
      </c>
      <c r="N63" s="205">
        <f>'ROLL+VL ILR TL+NI'!B114</f>
        <v>53332.399999999994</v>
      </c>
      <c r="O63" s="205">
        <f>'ROLL+VL ILR TL+NI'!C114</f>
        <v>54302.079999999994</v>
      </c>
      <c r="P63" s="205">
        <f>'ROLL+VL ILR TL+NI'!D114</f>
        <v>58180.799999999996</v>
      </c>
      <c r="Q63" s="205">
        <f>'ROLL+VL ILR TL+NI'!E114</f>
        <v>46544.639999999992</v>
      </c>
      <c r="S63" s="171" t="str">
        <f>'ROLL+VL PVE TL+NI '!A114</f>
        <v>juil</v>
      </c>
      <c r="T63" s="205">
        <f>'ROLL+VL PVE TL+NI '!B114</f>
        <v>0</v>
      </c>
      <c r="U63" s="205">
        <f>'ROLL+VL PVE TL+NI '!C114</f>
        <v>0</v>
      </c>
      <c r="V63" s="205">
        <f>'ROLL+VL PVE TL+NI '!D114</f>
        <v>0</v>
      </c>
      <c r="W63" s="205">
        <f>'ROLL+VL PVE TL+NI '!E114</f>
        <v>7757.44</v>
      </c>
    </row>
    <row r="64" spans="1:23" x14ac:dyDescent="0.25">
      <c r="A64" s="171" t="str">
        <f>'ROLL+VL AJA TL+NI '!A115</f>
        <v>aou</v>
      </c>
      <c r="B64" s="205">
        <f>'ROLL+VL AJA TL+NI '!B115</f>
        <v>117331.28</v>
      </c>
      <c r="C64" s="205">
        <f>'ROLL+VL AJA TL+NI '!C115</f>
        <v>119270.63999999998</v>
      </c>
      <c r="D64" s="205">
        <f>'ROLL+VL AJA TL+NI '!D115</f>
        <v>124119.03999999999</v>
      </c>
      <c r="E64" s="205">
        <f>'ROLL+VL AJA TL+NI '!E115</f>
        <v>126058.40000000002</v>
      </c>
      <c r="G64" s="171" t="str">
        <f>'ROLL+VL BAS TL+NI'!A115</f>
        <v>aou</v>
      </c>
      <c r="H64" s="205">
        <f>'ROLL+VL BAS TL+NI'!B115</f>
        <v>59150.479999999996</v>
      </c>
      <c r="I64" s="205">
        <f>'ROLL+VL BAS TL+NI'!C115</f>
        <v>63998.879999999997</v>
      </c>
      <c r="J64" s="205">
        <f>'ROLL+VL BAS TL+NI'!D115</f>
        <v>62059.519999999997</v>
      </c>
      <c r="K64" s="205">
        <f>'ROLL+VL BAS TL+NI'!E115</f>
        <v>81453.119999999981</v>
      </c>
      <c r="M64" s="171" t="str">
        <f>'ROLL+VL ILR TL+NI'!A115</f>
        <v>aou</v>
      </c>
      <c r="N64" s="205">
        <f>'ROLL+VL ILR TL+NI'!B115</f>
        <v>53332.399999999994</v>
      </c>
      <c r="O64" s="205">
        <f>'ROLL+VL ILR TL+NI'!C115</f>
        <v>68847.28</v>
      </c>
      <c r="P64" s="205">
        <f>'ROLL+VL ILR TL+NI'!D115</f>
        <v>56241.439999999995</v>
      </c>
      <c r="Q64" s="205">
        <f>'ROLL+VL ILR TL+NI'!E115</f>
        <v>46544.639999999992</v>
      </c>
      <c r="S64" s="171" t="str">
        <f>'ROLL+VL PVE TL+NI '!A115</f>
        <v>aou</v>
      </c>
      <c r="T64" s="205">
        <f>'ROLL+VL PVE TL+NI '!B115</f>
        <v>0</v>
      </c>
      <c r="U64" s="205">
        <f>'ROLL+VL PVE TL+NI '!C115</f>
        <v>0</v>
      </c>
      <c r="V64" s="205">
        <f>'ROLL+VL PVE TL+NI '!D115</f>
        <v>0</v>
      </c>
      <c r="W64" s="205">
        <f>'ROLL+VL PVE TL+NI '!E115</f>
        <v>0</v>
      </c>
    </row>
    <row r="65" spans="1:23" x14ac:dyDescent="0.25">
      <c r="A65" s="171" t="str">
        <f>'ROLL+VL AJA TL+NI '!A116</f>
        <v>sep</v>
      </c>
      <c r="B65" s="205">
        <f>'ROLL+VL AJA TL+NI '!B116</f>
        <v>100846.72</v>
      </c>
      <c r="C65" s="205">
        <f>'ROLL+VL AJA TL+NI '!C116</f>
        <v>108604.16</v>
      </c>
      <c r="D65" s="205">
        <f>'ROLL+VL AJA TL+NI '!D116</f>
        <v>110543.51999999999</v>
      </c>
      <c r="E65" s="205">
        <f>'ROLL+VL AJA TL+NI '!E116</f>
        <v>102786.07999999997</v>
      </c>
      <c r="G65" s="171" t="str">
        <f>'ROLL+VL BAS TL+NI'!A116</f>
        <v>sep</v>
      </c>
      <c r="H65" s="205">
        <f>'ROLL+VL BAS TL+NI'!B116</f>
        <v>58180.799999999996</v>
      </c>
      <c r="I65" s="205">
        <f>'ROLL+VL BAS TL+NI'!C116</f>
        <v>60120.160000000003</v>
      </c>
      <c r="J65" s="205">
        <f>'ROLL+VL BAS TL+NI'!D116</f>
        <v>65938.239999999991</v>
      </c>
      <c r="K65" s="205">
        <f>'ROLL+VL BAS TL+NI'!E116</f>
        <v>75635.039999999994</v>
      </c>
      <c r="M65" s="171" t="str">
        <f>'ROLL+VL ILR TL+NI'!A116</f>
        <v>sep</v>
      </c>
      <c r="N65" s="205">
        <f>'ROLL+VL ILR TL+NI'!B116</f>
        <v>15514.880000000001</v>
      </c>
      <c r="O65" s="205">
        <f>'ROLL+VL ILR TL+NI'!C116</f>
        <v>15514.88</v>
      </c>
      <c r="P65" s="205">
        <f>'ROLL+VL ILR TL+NI'!D116</f>
        <v>31029.759999999991</v>
      </c>
      <c r="Q65" s="205">
        <f>'ROLL+VL ILR TL+NI'!E116</f>
        <v>25211.68</v>
      </c>
      <c r="S65" s="171" t="str">
        <f>'ROLL+VL PVE TL+NI '!A116</f>
        <v>sep</v>
      </c>
      <c r="T65" s="205">
        <f>'ROLL+VL PVE TL+NI '!B116</f>
        <v>0</v>
      </c>
      <c r="U65" s="205">
        <f>'ROLL+VL PVE TL+NI '!C116</f>
        <v>0</v>
      </c>
      <c r="V65" s="205">
        <f>'ROLL+VL PVE TL+NI '!D116</f>
        <v>1939.36</v>
      </c>
      <c r="W65" s="205">
        <f>'ROLL+VL PVE TL+NI '!E116</f>
        <v>5818.079999999999</v>
      </c>
    </row>
    <row r="66" spans="1:23" x14ac:dyDescent="0.25">
      <c r="A66" s="171" t="str">
        <f>'ROLL+VL AJA TL+NI '!A117</f>
        <v>oct</v>
      </c>
      <c r="B66" s="205">
        <f>'ROLL+VL AJA TL+NI '!B117</f>
        <v>75635.039999999994</v>
      </c>
      <c r="C66" s="205">
        <f>'ROLL+VL AJA TL+NI '!C117</f>
        <v>80483.44</v>
      </c>
      <c r="D66" s="205">
        <f>'ROLL+VL AJA TL+NI '!D117</f>
        <v>79513.760000000009</v>
      </c>
      <c r="E66" s="205">
        <f>'ROLL+VL AJA TL+NI '!E117</f>
        <v>79513.759999999995</v>
      </c>
      <c r="G66" s="171" t="str">
        <f>'ROLL+VL BAS TL+NI'!A117</f>
        <v>oct</v>
      </c>
      <c r="H66" s="205">
        <f>'ROLL+VL BAS TL+NI'!B117</f>
        <v>61089.84</v>
      </c>
      <c r="I66" s="205">
        <f>'ROLL+VL BAS TL+NI'!C117</f>
        <v>71756.319999999992</v>
      </c>
      <c r="J66" s="205">
        <f>'ROLL+VL BAS TL+NI'!D117</f>
        <v>62059.519999999997</v>
      </c>
      <c r="K66" s="205">
        <f>'ROLL+VL BAS TL+NI'!E117</f>
        <v>71756.319999999992</v>
      </c>
      <c r="M66" s="171" t="str">
        <f>'ROLL+VL ILR TL+NI'!A117</f>
        <v>oct</v>
      </c>
      <c r="N66" s="205">
        <f>'ROLL+VL ILR TL+NI'!B117</f>
        <v>5818.079999999999</v>
      </c>
      <c r="O66" s="205">
        <f>'ROLL+VL ILR TL+NI'!C117</f>
        <v>1939.36</v>
      </c>
      <c r="P66" s="205">
        <f>'ROLL+VL ILR TL+NI'!D117</f>
        <v>7757.44</v>
      </c>
      <c r="Q66" s="205">
        <f>'ROLL+VL ILR TL+NI'!E117</f>
        <v>7757.44</v>
      </c>
      <c r="S66" s="171" t="str">
        <f>'ROLL+VL PVE TL+NI '!A117</f>
        <v>oct</v>
      </c>
      <c r="T66" s="205">
        <f>'ROLL+VL PVE TL+NI '!B117</f>
        <v>0</v>
      </c>
      <c r="U66" s="205">
        <f>'ROLL+VL PVE TL+NI '!C117</f>
        <v>0</v>
      </c>
      <c r="V66" s="205">
        <f>'ROLL+VL PVE TL+NI '!D117</f>
        <v>19393.599999999999</v>
      </c>
      <c r="W66" s="205">
        <f>'ROLL+VL PVE TL+NI '!E117</f>
        <v>3878.72</v>
      </c>
    </row>
    <row r="67" spans="1:23" x14ac:dyDescent="0.25">
      <c r="A67" s="171" t="str">
        <f>'ROLL+VL AJA TL+NI '!A118</f>
        <v>nov</v>
      </c>
      <c r="B67" s="205">
        <f>'ROLL+VL AJA TL+NI '!B118</f>
        <v>25553.919999999998</v>
      </c>
      <c r="C67" s="205">
        <f>'ROLL+VL AJA TL+NI '!C118</f>
        <v>24755.360000000001</v>
      </c>
      <c r="D67" s="205">
        <f>'ROLL+VL AJA TL+NI '!D118</f>
        <v>25553.919999999998</v>
      </c>
      <c r="E67" s="205">
        <f>'ROLL+VL AJA TL+NI '!E118</f>
        <v>0</v>
      </c>
      <c r="G67" s="171" t="str">
        <f>'ROLL+VL BAS TL+NI'!A118</f>
        <v>nov</v>
      </c>
      <c r="H67" s="205">
        <f>'ROLL+VL BAS TL+NI'!B118</f>
        <v>24755.359999999997</v>
      </c>
      <c r="I67" s="205">
        <f>'ROLL+VL BAS TL+NI'!C118</f>
        <v>25154.639999999996</v>
      </c>
      <c r="J67" s="205">
        <f>'ROLL+VL BAS TL+NI'!D118</f>
        <v>23956.799999999999</v>
      </c>
      <c r="K67" s="205">
        <f>'ROLL+VL BAS TL+NI'!E118</f>
        <v>0</v>
      </c>
      <c r="M67" s="171" t="str">
        <f>'ROLL+VL ILR TL+NI'!A118</f>
        <v>nov</v>
      </c>
      <c r="N67" s="205">
        <f>'ROLL+VL ILR TL+NI'!B118</f>
        <v>3992.7999999999997</v>
      </c>
      <c r="O67" s="205">
        <f>'ROLL+VL ILR TL+NI'!C118</f>
        <v>0</v>
      </c>
      <c r="P67" s="205">
        <f>'ROLL+VL ILR TL+NI'!D118</f>
        <v>0</v>
      </c>
      <c r="Q67" s="205">
        <f>'ROLL+VL ILR TL+NI'!E118</f>
        <v>0</v>
      </c>
      <c r="S67" s="171" t="str">
        <f>'ROLL+VL PVE TL+NI '!A118</f>
        <v>nov</v>
      </c>
      <c r="T67" s="205">
        <f>'ROLL+VL PVE TL+NI '!B118</f>
        <v>0</v>
      </c>
      <c r="U67" s="205">
        <f>'ROLL+VL PVE TL+NI '!C118</f>
        <v>0</v>
      </c>
      <c r="V67" s="205">
        <f>'ROLL+VL PVE TL+NI '!D118</f>
        <v>0</v>
      </c>
      <c r="W67" s="205">
        <f>'ROLL+VL PVE TL+NI '!E118</f>
        <v>0</v>
      </c>
    </row>
    <row r="68" spans="1:23" x14ac:dyDescent="0.25">
      <c r="A68" s="171" t="str">
        <f>'ROLL+VL AJA TL+NI '!A119</f>
        <v>déc</v>
      </c>
      <c r="B68" s="205">
        <f>'ROLL+VL AJA TL+NI '!B119</f>
        <v>25553.919999999998</v>
      </c>
      <c r="C68" s="205">
        <f>'ROLL+VL AJA TL+NI '!C119</f>
        <v>27949.599999999999</v>
      </c>
      <c r="D68" s="205">
        <f>'ROLL+VL AJA TL+NI '!D119</f>
        <v>25553.919999999998</v>
      </c>
      <c r="E68" s="205">
        <f>'ROLL+VL AJA TL+NI '!E119</f>
        <v>0</v>
      </c>
      <c r="G68" s="171" t="str">
        <f>'ROLL+VL BAS TL+NI'!A119</f>
        <v>déc</v>
      </c>
      <c r="H68" s="205">
        <f>'ROLL+VL BAS TL+NI'!B119</f>
        <v>26352.479999999996</v>
      </c>
      <c r="I68" s="205">
        <f>'ROLL+VL BAS TL+NI'!C119</f>
        <v>25953.199999999997</v>
      </c>
      <c r="J68" s="205">
        <f>'ROLL+VL BAS TL+NI'!D119</f>
        <v>24755.360000000001</v>
      </c>
      <c r="K68" s="205">
        <f>'ROLL+VL BAS TL+NI'!E119</f>
        <v>0</v>
      </c>
      <c r="M68" s="171" t="str">
        <f>'ROLL+VL ILR TL+NI'!A119</f>
        <v>déc</v>
      </c>
      <c r="N68" s="205">
        <f>'ROLL+VL ILR TL+NI'!B119</f>
        <v>3194.24</v>
      </c>
      <c r="O68" s="205">
        <f>'ROLL+VL ILR TL+NI'!C119</f>
        <v>0</v>
      </c>
      <c r="P68" s="205">
        <f>'ROLL+VL ILR TL+NI'!D119</f>
        <v>1597.12</v>
      </c>
      <c r="Q68" s="205">
        <f>'ROLL+VL ILR TL+NI'!E119</f>
        <v>0</v>
      </c>
      <c r="S68" s="171" t="str">
        <f>'ROLL+VL PVE TL+NI '!A119</f>
        <v>déc</v>
      </c>
      <c r="T68" s="205">
        <f>'ROLL+VL PVE TL+NI '!B119</f>
        <v>0</v>
      </c>
      <c r="U68" s="205">
        <f>'ROLL+VL PVE TL+NI '!C119</f>
        <v>0</v>
      </c>
      <c r="V68" s="205">
        <f>'ROLL+VL PVE TL+NI '!D119</f>
        <v>4791.3599999999988</v>
      </c>
      <c r="W68" s="205">
        <f>'ROLL+VL PVE TL+NI '!E119</f>
        <v>0</v>
      </c>
    </row>
    <row r="69" spans="1:23" x14ac:dyDescent="0.25">
      <c r="A69" s="171" t="str">
        <f>'ROLL+VL AJA TL+NI '!A120</f>
        <v>TOTAL</v>
      </c>
      <c r="B69" s="205">
        <f>'ROLL+VL AJA TL+NI '!B120</f>
        <v>833126.24</v>
      </c>
      <c r="C69" s="205">
        <f>'ROLL+VL AJA TL+NI '!C120</f>
        <v>841796.31999999983</v>
      </c>
      <c r="D69" s="205">
        <f>'ROLL+VL AJA TL+NI '!D120</f>
        <v>848070.72000000009</v>
      </c>
      <c r="E69" s="205">
        <f>'ROLL+VL AJA TL+NI '!E120</f>
        <v>777455.20000000007</v>
      </c>
      <c r="G69" s="171" t="str">
        <f>'ROLL+VL BAS TL+NI'!A120</f>
        <v>TOTAL</v>
      </c>
      <c r="H69" s="205">
        <f>'ROLL+VL BAS TL+NI'!B120</f>
        <v>548724.79999999993</v>
      </c>
      <c r="I69" s="205">
        <f>'ROLL+VL BAS TL+NI'!C120</f>
        <v>568916.95999999985</v>
      </c>
      <c r="J69" s="205">
        <f>'ROLL+VL BAS TL+NI'!D120</f>
        <v>582720.64</v>
      </c>
      <c r="K69" s="205">
        <f>'ROLL+VL BAS TL+NI'!E120</f>
        <v>579640.47999999986</v>
      </c>
      <c r="M69" s="171" t="str">
        <f>'ROLL+VL ILR TL+NI'!A120</f>
        <v>TOTAL</v>
      </c>
      <c r="N69" s="205">
        <f>'ROLL+VL ILR TL+NI'!B120</f>
        <v>181558.31999999995</v>
      </c>
      <c r="O69" s="205">
        <f>'ROLL+VL ILR TL+NI'!C120</f>
        <v>190798.8</v>
      </c>
      <c r="P69" s="205">
        <f>'ROLL+VL ILR TL+NI'!D120</f>
        <v>209108.63999999996</v>
      </c>
      <c r="Q69" s="205">
        <f>'ROLL+VL ILR TL+NI'!E120</f>
        <v>183896.95999999996</v>
      </c>
      <c r="S69" s="171" t="str">
        <f>'ROLL+VL PVE TL+NI '!A120</f>
        <v>TOTAL</v>
      </c>
      <c r="T69" s="205">
        <f>'ROLL+VL PVE TL+NI '!B120</f>
        <v>798.56</v>
      </c>
      <c r="U69" s="205">
        <f>'ROLL+VL PVE TL+NI '!C120</f>
        <v>0</v>
      </c>
      <c r="V69" s="205">
        <f>'ROLL+VL PVE TL+NI '!D120</f>
        <v>31942.399999999994</v>
      </c>
      <c r="W69" s="205">
        <f>'ROLL+VL PVE TL+NI '!E120</f>
        <v>31029.759999999998</v>
      </c>
    </row>
    <row r="70" spans="1:23" x14ac:dyDescent="0.25">
      <c r="A70" s="118" t="str">
        <f>'ROLL+VL AJA TL+NI '!A121</f>
        <v>Source :  Capitainerie Port de Toulon</v>
      </c>
      <c r="B70" s="118"/>
      <c r="C70" s="118"/>
      <c r="D70" s="118"/>
      <c r="E70" s="118"/>
      <c r="G70" s="118" t="str">
        <f>'ROLL+VL BAS TL+NI'!A121</f>
        <v>Source :  Capitainerie Port de Toulon</v>
      </c>
      <c r="H70" s="194"/>
      <c r="I70" s="194"/>
      <c r="J70" s="194"/>
      <c r="K70" s="195"/>
      <c r="M70" s="118" t="str">
        <f>'ROLL+VL ILR TL+NI'!A121</f>
        <v>Source :  Capitainerie Port de Toulon</v>
      </c>
      <c r="N70" s="194"/>
      <c r="O70" s="194"/>
      <c r="P70" s="194"/>
      <c r="Q70" s="195"/>
      <c r="S70" s="118" t="str">
        <f>'ROLL+VL PVE TL+NI '!A121</f>
        <v>Source :  Capitainerie Port de Toulon</v>
      </c>
      <c r="T70" s="194"/>
      <c r="U70" s="194"/>
      <c r="V70" s="194"/>
      <c r="W70" s="195"/>
    </row>
    <row r="72" spans="1:23" x14ac:dyDescent="0.25">
      <c r="A72" s="193" t="str">
        <f>'ROLL+VL AJA TL+NI '!A142</f>
        <v>CAPACITE VL AJACIO NICE (ML)</v>
      </c>
      <c r="B72" s="194"/>
      <c r="C72" s="194"/>
      <c r="D72" s="194"/>
      <c r="E72" s="195"/>
      <c r="G72" s="193" t="str">
        <f>'ROLL+VL BAS TL+NI'!A142</f>
        <v>CAPACITE VL BASTIA NICE VL (ML)</v>
      </c>
      <c r="H72" s="194"/>
      <c r="I72" s="194"/>
      <c r="J72" s="194"/>
      <c r="K72" s="195"/>
      <c r="M72" s="193" t="str">
        <f>'ROLL+VL ILR TL+NI'!A142</f>
        <v>CAPACITE VL ILE ROUSSE NICE (ML)</v>
      </c>
      <c r="N72" s="194"/>
      <c r="O72" s="194"/>
      <c r="P72" s="194"/>
      <c r="Q72" s="195"/>
      <c r="S72" s="193" t="str">
        <f>'ROLL+VL PVE TL+NI '!A142</f>
        <v>CAPACITE VL PORTO VECCHIO NICE (ML)</v>
      </c>
      <c r="T72" s="194"/>
      <c r="U72" s="194"/>
      <c r="V72" s="194"/>
      <c r="W72" s="195"/>
    </row>
    <row r="73" spans="1:23" x14ac:dyDescent="0.25">
      <c r="A73" s="192"/>
      <c r="B73" s="20">
        <f>'ROLL+VL AJA TL+NI '!B143</f>
        <v>2014</v>
      </c>
      <c r="C73" s="20">
        <f>'ROLL+VL AJA TL+NI '!C143</f>
        <v>2015</v>
      </c>
      <c r="D73" s="20">
        <f>'ROLL+VL AJA TL+NI '!D143</f>
        <v>2016</v>
      </c>
      <c r="E73" s="20">
        <f>'ROLL+VL AJA TL+NI '!E143</f>
        <v>2017</v>
      </c>
      <c r="G73" s="192"/>
      <c r="H73" s="20">
        <f>'ROLL+VL BAS TL+NI'!B143</f>
        <v>2014</v>
      </c>
      <c r="I73" s="20">
        <f>'ROLL+VL BAS TL+NI'!C143</f>
        <v>2015</v>
      </c>
      <c r="J73" s="20">
        <f>'ROLL+VL BAS TL+NI'!D143</f>
        <v>2016</v>
      </c>
      <c r="K73" s="20">
        <f>'ROLL+VL BAS TL+NI'!E143</f>
        <v>2017</v>
      </c>
      <c r="M73" s="192"/>
      <c r="N73" s="20">
        <f>'ROLL+VL ILR TL+NI'!B143</f>
        <v>2014</v>
      </c>
      <c r="O73" s="20">
        <f>'ROLL+VL ILR TL+NI'!C143</f>
        <v>2015</v>
      </c>
      <c r="P73" s="20">
        <f>'ROLL+VL ILR TL+NI'!D143</f>
        <v>2016</v>
      </c>
      <c r="Q73" s="20">
        <f>'ROLL+VL ILR TL+NI'!E143</f>
        <v>2017</v>
      </c>
      <c r="S73" s="192"/>
      <c r="T73" s="20">
        <f>'ROLL+VL PVE TL+NI '!B143</f>
        <v>2014</v>
      </c>
      <c r="U73" s="20">
        <f>'ROLL+VL PVE TL+NI '!C143</f>
        <v>2015</v>
      </c>
      <c r="V73" s="20">
        <f>'ROLL+VL PVE TL+NI '!D143</f>
        <v>2016</v>
      </c>
      <c r="W73" s="20">
        <f>'ROLL+VL PVE TL+NI '!E143</f>
        <v>2017</v>
      </c>
    </row>
    <row r="74" spans="1:23" x14ac:dyDescent="0.25">
      <c r="A74" s="171" t="str">
        <f>'ROLL+VL AJA TL+NI '!A144</f>
        <v>jan</v>
      </c>
      <c r="B74" s="205">
        <f>'ROLL+VL AJA TL+NI '!B144</f>
        <v>14961</v>
      </c>
      <c r="C74" s="205">
        <f>'ROLL+VL AJA TL+NI '!C144</f>
        <v>2997</v>
      </c>
      <c r="D74" s="205">
        <f>'ROLL+VL AJA TL+NI '!D144</f>
        <v>15144</v>
      </c>
      <c r="E74" s="205">
        <f>'ROLL+VL AJA TL+NI '!E144</f>
        <v>11034</v>
      </c>
      <c r="G74" s="171" t="str">
        <f>'ROLL+VL BAS TL+NI'!A144</f>
        <v>jan</v>
      </c>
      <c r="H74" s="205">
        <f>'ROLL+VL BAS TL+NI'!B144</f>
        <v>27891</v>
      </c>
      <c r="I74" s="205">
        <f>'ROLL+VL BAS TL+NI'!C144</f>
        <v>31854</v>
      </c>
      <c r="J74" s="205">
        <f>'ROLL+VL BAS TL+NI'!D144</f>
        <v>40434</v>
      </c>
      <c r="K74" s="205">
        <f>'ROLL+VL BAS TL+NI'!E144</f>
        <v>33393</v>
      </c>
      <c r="M74" s="171" t="str">
        <f>'ROLL+VL ILR TL+NI'!A144</f>
        <v>jan</v>
      </c>
      <c r="N74" s="205">
        <f>'ROLL+VL ILR TL+NI'!B144</f>
        <v>2286</v>
      </c>
      <c r="O74" s="205">
        <f>'ROLL+VL ILR TL+NI'!C144</f>
        <v>2343</v>
      </c>
      <c r="P74" s="205">
        <f>'ROLL+VL ILR TL+NI'!D144</f>
        <v>11685</v>
      </c>
      <c r="Q74" s="205">
        <f>'ROLL+VL ILR TL+NI'!E144</f>
        <v>5438</v>
      </c>
      <c r="S74" s="171" t="str">
        <f>'ROLL+VL PVE TL+NI '!A144</f>
        <v>jan</v>
      </c>
      <c r="T74" s="205">
        <f>'ROLL+VL PVE TL+NI '!B144</f>
        <v>0</v>
      </c>
      <c r="U74" s="205">
        <f>'ROLL+VL PVE TL+NI '!C144</f>
        <v>0</v>
      </c>
      <c r="V74" s="205">
        <f>'ROLL+VL PVE TL+NI '!D144</f>
        <v>0</v>
      </c>
      <c r="W74" s="205">
        <f>'ROLL+VL PVE TL+NI '!E144</f>
        <v>0</v>
      </c>
    </row>
    <row r="75" spans="1:23" x14ac:dyDescent="0.25">
      <c r="A75" s="171" t="str">
        <f>'ROLL+VL AJA TL+NI '!A145</f>
        <v>fév</v>
      </c>
      <c r="B75" s="205">
        <f>'ROLL+VL AJA TL+NI '!B145</f>
        <v>16287</v>
      </c>
      <c r="C75" s="205">
        <f>'ROLL+VL AJA TL+NI '!C145</f>
        <v>3000</v>
      </c>
      <c r="D75" s="205">
        <f>'ROLL+VL AJA TL+NI '!D145</f>
        <v>5793</v>
      </c>
      <c r="E75" s="205">
        <f>'ROLL+VL AJA TL+NI '!E145</f>
        <v>8360</v>
      </c>
      <c r="G75" s="171" t="str">
        <f>'ROLL+VL BAS TL+NI'!A145</f>
        <v>fév</v>
      </c>
      <c r="H75" s="205">
        <f>'ROLL+VL BAS TL+NI'!B145</f>
        <v>27381</v>
      </c>
      <c r="I75" s="205">
        <f>'ROLL+VL BAS TL+NI'!C145</f>
        <v>25881</v>
      </c>
      <c r="J75" s="205">
        <f>'ROLL+VL BAS TL+NI'!D145</f>
        <v>29439</v>
      </c>
      <c r="K75" s="205">
        <f>'ROLL+VL BAS TL+NI'!E145</f>
        <v>27567</v>
      </c>
      <c r="M75" s="171" t="str">
        <f>'ROLL+VL ILR TL+NI'!A145</f>
        <v>fév</v>
      </c>
      <c r="N75" s="205">
        <f>'ROLL+VL ILR TL+NI'!B145</f>
        <v>6237</v>
      </c>
      <c r="O75" s="205">
        <f>'ROLL+VL ILR TL+NI'!C145</f>
        <v>3048</v>
      </c>
      <c r="P75" s="205">
        <f>'ROLL+VL ILR TL+NI'!D145</f>
        <v>3375</v>
      </c>
      <c r="Q75" s="205">
        <f>'ROLL+VL ILR TL+NI'!E145</f>
        <v>4220</v>
      </c>
      <c r="S75" s="171" t="str">
        <f>'ROLL+VL PVE TL+NI '!A145</f>
        <v>fév</v>
      </c>
      <c r="T75" s="205">
        <f>'ROLL+VL PVE TL+NI '!B145</f>
        <v>0</v>
      </c>
      <c r="U75" s="205">
        <f>'ROLL+VL PVE TL+NI '!C145</f>
        <v>0</v>
      </c>
      <c r="V75" s="205">
        <f>'ROLL+VL PVE TL+NI '!D145</f>
        <v>0</v>
      </c>
      <c r="W75" s="205">
        <f>'ROLL+VL PVE TL+NI '!E145</f>
        <v>0</v>
      </c>
    </row>
    <row r="76" spans="1:23" x14ac:dyDescent="0.25">
      <c r="A76" s="171" t="str">
        <f>'ROLL+VL AJA TL+NI '!A146</f>
        <v>mar</v>
      </c>
      <c r="B76" s="205">
        <f>'ROLL+VL AJA TL+NI '!B146</f>
        <v>19128</v>
      </c>
      <c r="C76" s="205">
        <f>'ROLL+VL AJA TL+NI '!C146</f>
        <v>0</v>
      </c>
      <c r="D76" s="205">
        <f>'ROLL+VL AJA TL+NI '!D146</f>
        <v>9144</v>
      </c>
      <c r="E76" s="205">
        <f>'ROLL+VL AJA TL+NI '!E146</f>
        <v>9424</v>
      </c>
      <c r="G76" s="171" t="str">
        <f>'ROLL+VL BAS TL+NI'!A146</f>
        <v>mar</v>
      </c>
      <c r="H76" s="205">
        <f>'ROLL+VL BAS TL+NI'!B146</f>
        <v>29955</v>
      </c>
      <c r="I76" s="205">
        <f>'ROLL+VL BAS TL+NI'!C146</f>
        <v>28518</v>
      </c>
      <c r="J76" s="205">
        <f>'ROLL+VL BAS TL+NI'!D146</f>
        <v>37260</v>
      </c>
      <c r="K76" s="205">
        <f>'ROLL+VL BAS TL+NI'!E146</f>
        <v>31911</v>
      </c>
      <c r="M76" s="171" t="str">
        <f>'ROLL+VL ILR TL+NI'!A146</f>
        <v>mar</v>
      </c>
      <c r="N76" s="205">
        <f>'ROLL+VL ILR TL+NI'!B146</f>
        <v>2286</v>
      </c>
      <c r="O76" s="205">
        <f>'ROLL+VL ILR TL+NI'!C146</f>
        <v>0</v>
      </c>
      <c r="P76" s="205">
        <f>'ROLL+VL ILR TL+NI'!D146</f>
        <v>4476</v>
      </c>
      <c r="Q76" s="205">
        <f>'ROLL+VL ILR TL+NI'!E146</f>
        <v>2254</v>
      </c>
      <c r="S76" s="171" t="str">
        <f>'ROLL+VL PVE TL+NI '!A146</f>
        <v>mar</v>
      </c>
      <c r="T76" s="205">
        <f>'ROLL+VL PVE TL+NI '!B146</f>
        <v>0</v>
      </c>
      <c r="U76" s="205">
        <f>'ROLL+VL PVE TL+NI '!C146</f>
        <v>0</v>
      </c>
      <c r="V76" s="205">
        <f>'ROLL+VL PVE TL+NI '!D146</f>
        <v>0</v>
      </c>
      <c r="W76" s="205">
        <f>'ROLL+VL PVE TL+NI '!E146</f>
        <v>0</v>
      </c>
    </row>
    <row r="77" spans="1:23" x14ac:dyDescent="0.25">
      <c r="A77" s="171" t="str">
        <f>'ROLL+VL AJA TL+NI '!A147</f>
        <v>avr</v>
      </c>
      <c r="B77" s="205">
        <f>'ROLL+VL AJA TL+NI '!B147</f>
        <v>11787</v>
      </c>
      <c r="C77" s="205">
        <f>'ROLL+VL AJA TL+NI '!C147</f>
        <v>3150</v>
      </c>
      <c r="D77" s="205">
        <f>'ROLL+VL AJA TL+NI '!D147</f>
        <v>17982</v>
      </c>
      <c r="E77" s="205">
        <f>'ROLL+VL AJA TL+NI '!E147</f>
        <v>10973</v>
      </c>
      <c r="G77" s="171" t="str">
        <f>'ROLL+VL BAS TL+NI'!A147</f>
        <v>avr</v>
      </c>
      <c r="H77" s="205">
        <f>'ROLL+VL BAS TL+NI'!B147</f>
        <v>46485</v>
      </c>
      <c r="I77" s="205">
        <f>'ROLL+VL BAS TL+NI'!C147</f>
        <v>57546</v>
      </c>
      <c r="J77" s="205">
        <f>'ROLL+VL BAS TL+NI'!D147</f>
        <v>77100</v>
      </c>
      <c r="K77" s="205">
        <f>'ROLL+VL BAS TL+NI'!E147</f>
        <v>60377</v>
      </c>
      <c r="M77" s="171" t="str">
        <f>'ROLL+VL ILR TL+NI'!A147</f>
        <v>avr</v>
      </c>
      <c r="N77" s="205">
        <f>'ROLL+VL ILR TL+NI'!B147</f>
        <v>8727</v>
      </c>
      <c r="O77" s="205">
        <f>'ROLL+VL ILR TL+NI'!C147</f>
        <v>5334</v>
      </c>
      <c r="P77" s="205">
        <f>'ROLL+VL ILR TL+NI'!D147</f>
        <v>1422</v>
      </c>
      <c r="Q77" s="205">
        <f>'ROLL+VL ILR TL+NI'!E147</f>
        <v>5161</v>
      </c>
      <c r="S77" s="171" t="str">
        <f>'ROLL+VL PVE TL+NI '!A147</f>
        <v>avr</v>
      </c>
      <c r="T77" s="205">
        <f>'ROLL+VL PVE TL+NI '!B147</f>
        <v>0</v>
      </c>
      <c r="U77" s="205">
        <f>'ROLL+VL PVE TL+NI '!C147</f>
        <v>0</v>
      </c>
      <c r="V77" s="205">
        <f>'ROLL+VL PVE TL+NI '!D147</f>
        <v>0</v>
      </c>
      <c r="W77" s="205">
        <f>'ROLL+VL PVE TL+NI '!E147</f>
        <v>0</v>
      </c>
    </row>
    <row r="78" spans="1:23" x14ac:dyDescent="0.25">
      <c r="A78" s="171" t="str">
        <f>'ROLL+VL AJA TL+NI '!A148</f>
        <v>mai</v>
      </c>
      <c r="B78" s="205">
        <f>'ROLL+VL AJA TL+NI '!B148</f>
        <v>21438</v>
      </c>
      <c r="C78" s="205">
        <f>'ROLL+VL AJA TL+NI '!C148</f>
        <v>23676</v>
      </c>
      <c r="D78" s="205">
        <f>'ROLL+VL AJA TL+NI '!D148</f>
        <v>14682</v>
      </c>
      <c r="E78" s="205">
        <f>'ROLL+VL AJA TL+NI '!E148</f>
        <v>19932</v>
      </c>
      <c r="G78" s="171" t="str">
        <f>'ROLL+VL BAS TL+NI'!A148</f>
        <v>mai</v>
      </c>
      <c r="H78" s="205">
        <f>'ROLL+VL BAS TL+NI'!B148</f>
        <v>61749</v>
      </c>
      <c r="I78" s="205">
        <f>'ROLL+VL BAS TL+NI'!C148</f>
        <v>76929</v>
      </c>
      <c r="J78" s="205">
        <f>'ROLL+VL BAS TL+NI'!D148</f>
        <v>62721</v>
      </c>
      <c r="K78" s="205">
        <f>'ROLL+VL BAS TL+NI'!E148</f>
        <v>67133</v>
      </c>
      <c r="M78" s="171" t="str">
        <f>'ROLL+VL ILR TL+NI'!A148</f>
        <v>mai</v>
      </c>
      <c r="N78" s="205">
        <f>'ROLL+VL ILR TL+NI'!B148</f>
        <v>12225</v>
      </c>
      <c r="O78" s="205">
        <f>'ROLL+VL ILR TL+NI'!C148</f>
        <v>4317</v>
      </c>
      <c r="P78" s="205">
        <f>'ROLL+VL ILR TL+NI'!D148</f>
        <v>0</v>
      </c>
      <c r="Q78" s="205">
        <f>'ROLL+VL ILR TL+NI'!E148</f>
        <v>5514</v>
      </c>
      <c r="S78" s="171" t="str">
        <f>'ROLL+VL PVE TL+NI '!A148</f>
        <v>mai</v>
      </c>
      <c r="T78" s="205">
        <f>'ROLL+VL PVE TL+NI '!B148</f>
        <v>0</v>
      </c>
      <c r="U78" s="205">
        <f>'ROLL+VL PVE TL+NI '!C148</f>
        <v>0</v>
      </c>
      <c r="V78" s="205">
        <f>'ROLL+VL PVE TL+NI '!D148</f>
        <v>0</v>
      </c>
      <c r="W78" s="205">
        <f>'ROLL+VL PVE TL+NI '!E148</f>
        <v>0</v>
      </c>
    </row>
    <row r="79" spans="1:23" x14ac:dyDescent="0.25">
      <c r="A79" s="171" t="str">
        <f>'ROLL+VL AJA TL+NI '!A149</f>
        <v>juin</v>
      </c>
      <c r="B79" s="205">
        <f>'ROLL+VL AJA TL+NI '!B149</f>
        <v>33324</v>
      </c>
      <c r="C79" s="205">
        <f>'ROLL+VL AJA TL+NI '!C149</f>
        <v>33198</v>
      </c>
      <c r="D79" s="205">
        <f>'ROLL+VL AJA TL+NI '!D149</f>
        <v>30330</v>
      </c>
      <c r="E79" s="205">
        <f>'ROLL+VL AJA TL+NI '!E149</f>
        <v>32284</v>
      </c>
      <c r="G79" s="171" t="str">
        <f>'ROLL+VL BAS TL+NI'!A149</f>
        <v>juin</v>
      </c>
      <c r="H79" s="205">
        <f>'ROLL+VL BAS TL+NI'!B149</f>
        <v>81381</v>
      </c>
      <c r="I79" s="205">
        <f>'ROLL+VL BAS TL+NI'!C149</f>
        <v>91491</v>
      </c>
      <c r="J79" s="205">
        <f>'ROLL+VL BAS TL+NI'!D149</f>
        <v>121590</v>
      </c>
      <c r="K79" s="205">
        <f>'ROLL+VL BAS TL+NI'!E149</f>
        <v>98154</v>
      </c>
      <c r="M79" s="171" t="str">
        <f>'ROLL+VL ILR TL+NI'!A149</f>
        <v>juin</v>
      </c>
      <c r="N79" s="205">
        <f>'ROLL+VL ILR TL+NI'!B149</f>
        <v>39690</v>
      </c>
      <c r="O79" s="205">
        <f>'ROLL+VL ILR TL+NI'!C149</f>
        <v>21327</v>
      </c>
      <c r="P79" s="205">
        <f>'ROLL+VL ILR TL+NI'!D149</f>
        <v>7161</v>
      </c>
      <c r="Q79" s="205">
        <f>'ROLL+VL ILR TL+NI'!E149</f>
        <v>22726</v>
      </c>
      <c r="S79" s="171" t="str">
        <f>'ROLL+VL PVE TL+NI '!A149</f>
        <v>juin</v>
      </c>
      <c r="T79" s="205">
        <f>'ROLL+VL PVE TL+NI '!B149</f>
        <v>0</v>
      </c>
      <c r="U79" s="205">
        <f>'ROLL+VL PVE TL+NI '!C149</f>
        <v>0</v>
      </c>
      <c r="V79" s="205">
        <f>'ROLL+VL PVE TL+NI '!D149</f>
        <v>10974</v>
      </c>
      <c r="W79" s="205">
        <f>'ROLL+VL PVE TL+NI '!E149</f>
        <v>10974</v>
      </c>
    </row>
    <row r="80" spans="1:23" x14ac:dyDescent="0.25">
      <c r="A80" s="171" t="str">
        <f>'ROLL+VL AJA TL+NI '!A150</f>
        <v>juil</v>
      </c>
      <c r="B80" s="205">
        <f>'ROLL+VL AJA TL+NI '!B150</f>
        <v>57561</v>
      </c>
      <c r="C80" s="205">
        <f>'ROLL+VL AJA TL+NI '!C150</f>
        <v>44937</v>
      </c>
      <c r="D80" s="205">
        <f>'ROLL+VL AJA TL+NI '!D150</f>
        <v>57735</v>
      </c>
      <c r="E80" s="205">
        <f>'ROLL+VL AJA TL+NI '!E150</f>
        <v>53411</v>
      </c>
      <c r="G80" s="171" t="str">
        <f>'ROLL+VL BAS TL+NI'!A150</f>
        <v>juil</v>
      </c>
      <c r="H80" s="205">
        <f>'ROLL+VL BAS TL+NI'!B150</f>
        <v>113001</v>
      </c>
      <c r="I80" s="205">
        <f>'ROLL+VL BAS TL+NI'!C150</f>
        <v>99102</v>
      </c>
      <c r="J80" s="205">
        <f>'ROLL+VL BAS TL+NI'!D150</f>
        <v>192789</v>
      </c>
      <c r="K80" s="205">
        <f>'ROLL+VL BAS TL+NI'!E150</f>
        <v>134964</v>
      </c>
      <c r="M80" s="171" t="str">
        <f>'ROLL+VL ILR TL+NI'!A150</f>
        <v>juil</v>
      </c>
      <c r="N80" s="205">
        <f>'ROLL+VL ILR TL+NI'!B150</f>
        <v>123924</v>
      </c>
      <c r="O80" s="205">
        <f>'ROLL+VL ILR TL+NI'!C150</f>
        <v>85629</v>
      </c>
      <c r="P80" s="205">
        <f>'ROLL+VL ILR TL+NI'!D150</f>
        <v>41907</v>
      </c>
      <c r="Q80" s="205">
        <f>'ROLL+VL ILR TL+NI'!E150</f>
        <v>83820</v>
      </c>
      <c r="S80" s="171" t="str">
        <f>'ROLL+VL PVE TL+NI '!A150</f>
        <v>juil</v>
      </c>
      <c r="T80" s="205">
        <f>'ROLL+VL PVE TL+NI '!B150</f>
        <v>0</v>
      </c>
      <c r="U80" s="205">
        <f>'ROLL+VL PVE TL+NI '!C150</f>
        <v>0</v>
      </c>
      <c r="V80" s="205">
        <f>'ROLL+VL PVE TL+NI '!D150</f>
        <v>12156</v>
      </c>
      <c r="W80" s="205">
        <f>'ROLL+VL PVE TL+NI '!E150</f>
        <v>12156</v>
      </c>
    </row>
    <row r="81" spans="1:29" x14ac:dyDescent="0.25">
      <c r="A81" s="171" t="str">
        <f>'ROLL+VL AJA TL+NI '!A151</f>
        <v>aou</v>
      </c>
      <c r="B81" s="205">
        <f>'ROLL+VL AJA TL+NI '!B151</f>
        <v>89643</v>
      </c>
      <c r="C81" s="205">
        <f>'ROLL+VL AJA TL+NI '!C151</f>
        <v>58542</v>
      </c>
      <c r="D81" s="205">
        <f>'ROLL+VL AJA TL+NI '!D151</f>
        <v>44703</v>
      </c>
      <c r="E81" s="205">
        <f>'ROLL+VL AJA TL+NI '!E151</f>
        <v>64296</v>
      </c>
      <c r="G81" s="171" t="str">
        <f>'ROLL+VL BAS TL+NI'!A151</f>
        <v>aou</v>
      </c>
      <c r="H81" s="205">
        <f>'ROLL+VL BAS TL+NI'!B151</f>
        <v>120141</v>
      </c>
      <c r="I81" s="205">
        <f>'ROLL+VL BAS TL+NI'!C151</f>
        <v>93777</v>
      </c>
      <c r="J81" s="205">
        <f>'ROLL+VL BAS TL+NI'!D151</f>
        <v>156513</v>
      </c>
      <c r="K81" s="205">
        <f>'ROLL+VL BAS TL+NI'!E151</f>
        <v>123477</v>
      </c>
      <c r="M81" s="171" t="str">
        <f>'ROLL+VL ILR TL+NI'!A151</f>
        <v>aou</v>
      </c>
      <c r="N81" s="205">
        <f>'ROLL+VL ILR TL+NI'!B151</f>
        <v>139485</v>
      </c>
      <c r="O81" s="205">
        <f>'ROLL+VL ILR TL+NI'!C151</f>
        <v>129900</v>
      </c>
      <c r="P81" s="205">
        <f>'ROLL+VL ILR TL+NI'!D151</f>
        <v>102846</v>
      </c>
      <c r="Q81" s="205">
        <f>'ROLL+VL ILR TL+NI'!E151</f>
        <v>124077</v>
      </c>
      <c r="S81" s="171" t="str">
        <f>'ROLL+VL PVE TL+NI '!A151</f>
        <v>aou</v>
      </c>
      <c r="T81" s="205">
        <f>'ROLL+VL PVE TL+NI '!B151</f>
        <v>0</v>
      </c>
      <c r="U81" s="205">
        <f>'ROLL+VL PVE TL+NI '!C151</f>
        <v>0</v>
      </c>
      <c r="V81" s="205">
        <f>'ROLL+VL PVE TL+NI '!D151</f>
        <v>13497</v>
      </c>
      <c r="W81" s="205">
        <f>'ROLL+VL PVE TL+NI '!E151</f>
        <v>13497</v>
      </c>
    </row>
    <row r="82" spans="1:29" x14ac:dyDescent="0.25">
      <c r="A82" s="171" t="str">
        <f>'ROLL+VL AJA TL+NI '!A152</f>
        <v>sep</v>
      </c>
      <c r="B82" s="205">
        <f>'ROLL+VL AJA TL+NI '!B152</f>
        <v>25803</v>
      </c>
      <c r="C82" s="205">
        <f>'ROLL+VL AJA TL+NI '!C152</f>
        <v>28647</v>
      </c>
      <c r="D82" s="205">
        <f>'ROLL+VL AJA TL+NI '!D152</f>
        <v>22986</v>
      </c>
      <c r="E82" s="205">
        <f>'ROLL+VL AJA TL+NI '!E152</f>
        <v>25812</v>
      </c>
      <c r="G82" s="171" t="str">
        <f>'ROLL+VL BAS TL+NI'!A152</f>
        <v>sep</v>
      </c>
      <c r="H82" s="205">
        <f>'ROLL+VL BAS TL+NI'!B152</f>
        <v>82299</v>
      </c>
      <c r="I82" s="205">
        <f>'ROLL+VL BAS TL+NI'!C152</f>
        <v>88620</v>
      </c>
      <c r="J82" s="205">
        <f>'ROLL+VL BAS TL+NI'!D152</f>
        <v>85923</v>
      </c>
      <c r="K82" s="205">
        <f>'ROLL+VL BAS TL+NI'!E152</f>
        <v>85614</v>
      </c>
      <c r="M82" s="171" t="str">
        <f>'ROLL+VL ILR TL+NI'!A152</f>
        <v>sep</v>
      </c>
      <c r="N82" s="205">
        <f>'ROLL+VL ILR TL+NI'!B152</f>
        <v>50661</v>
      </c>
      <c r="O82" s="205">
        <f>'ROLL+VL ILR TL+NI'!C152</f>
        <v>38889</v>
      </c>
      <c r="P82" s="205">
        <f>'ROLL+VL ILR TL+NI'!D152</f>
        <v>28767</v>
      </c>
      <c r="Q82" s="205">
        <f>'ROLL+VL ILR TL+NI'!E152</f>
        <v>39439</v>
      </c>
      <c r="S82" s="171" t="str">
        <f>'ROLL+VL PVE TL+NI '!A152</f>
        <v>sep</v>
      </c>
      <c r="T82" s="205">
        <f>'ROLL+VL PVE TL+NI '!B152</f>
        <v>0</v>
      </c>
      <c r="U82" s="205">
        <f>'ROLL+VL PVE TL+NI '!C152</f>
        <v>0</v>
      </c>
      <c r="V82" s="205">
        <f>'ROLL+VL PVE TL+NI '!D152</f>
        <v>10893</v>
      </c>
      <c r="W82" s="205">
        <f>'ROLL+VL PVE TL+NI '!E152</f>
        <v>10893</v>
      </c>
    </row>
    <row r="83" spans="1:29" x14ac:dyDescent="0.25">
      <c r="A83" s="171" t="str">
        <f>'ROLL+VL AJA TL+NI '!A153</f>
        <v>oct</v>
      </c>
      <c r="B83" s="205">
        <f>'ROLL+VL AJA TL+NI '!B153</f>
        <v>2895</v>
      </c>
      <c r="C83" s="205">
        <f>'ROLL+VL AJA TL+NI '!C153</f>
        <v>4266</v>
      </c>
      <c r="D83" s="205">
        <f>'ROLL+VL AJA TL+NI '!D153</f>
        <v>14100</v>
      </c>
      <c r="E83" s="205">
        <f>'ROLL+VL AJA TL+NI '!E153</f>
        <v>7087</v>
      </c>
      <c r="G83" s="171" t="str">
        <f>'ROLL+VL BAS TL+NI'!A153</f>
        <v>oct</v>
      </c>
      <c r="H83" s="205">
        <f>'ROLL+VL BAS TL+NI'!B153</f>
        <v>43206</v>
      </c>
      <c r="I83" s="205">
        <f>'ROLL+VL BAS TL+NI'!C153</f>
        <v>49308</v>
      </c>
      <c r="J83" s="205">
        <f>'ROLL+VL BAS TL+NI'!D153</f>
        <v>40905</v>
      </c>
      <c r="K83" s="205">
        <f>'ROLL+VL BAS TL+NI'!E153</f>
        <v>44473</v>
      </c>
      <c r="M83" s="171" t="str">
        <f>'ROLL+VL ILR TL+NI'!A153</f>
        <v>oct</v>
      </c>
      <c r="N83" s="205">
        <f>'ROLL+VL ILR TL+NI'!B153</f>
        <v>3048</v>
      </c>
      <c r="O83" s="205">
        <f>'ROLL+VL ILR TL+NI'!C153</f>
        <v>0</v>
      </c>
      <c r="P83" s="205">
        <f>'ROLL+VL ILR TL+NI'!D153</f>
        <v>0</v>
      </c>
      <c r="Q83" s="205">
        <f>'ROLL+VL ILR TL+NI'!E153</f>
        <v>0</v>
      </c>
      <c r="S83" s="171" t="str">
        <f>'ROLL+VL PVE TL+NI '!A153</f>
        <v>oct</v>
      </c>
      <c r="T83" s="205">
        <f>'ROLL+VL PVE TL+NI '!B153</f>
        <v>0</v>
      </c>
      <c r="U83" s="205">
        <f>'ROLL+VL PVE TL+NI '!C153</f>
        <v>0</v>
      </c>
      <c r="V83" s="205">
        <f>'ROLL+VL PVE TL+NI '!D153</f>
        <v>1422</v>
      </c>
      <c r="W83" s="205">
        <f>'ROLL+VL PVE TL+NI '!E153</f>
        <v>1422</v>
      </c>
    </row>
    <row r="84" spans="1:29" x14ac:dyDescent="0.25">
      <c r="A84" s="171" t="str">
        <f>'ROLL+VL AJA TL+NI '!A154</f>
        <v>nov</v>
      </c>
      <c r="B84" s="205">
        <f>'ROLL+VL AJA TL+NI '!B154</f>
        <v>2949</v>
      </c>
      <c r="C84" s="205">
        <f>'ROLL+VL AJA TL+NI '!C154</f>
        <v>8637</v>
      </c>
      <c r="D84" s="205">
        <f>'ROLL+VL AJA TL+NI '!D154</f>
        <v>8739</v>
      </c>
      <c r="E84" s="205">
        <f>'ROLL+VL AJA TL+NI '!E154</f>
        <v>0</v>
      </c>
      <c r="G84" s="171" t="str">
        <f>'ROLL+VL BAS TL+NI'!A154</f>
        <v>nov</v>
      </c>
      <c r="H84" s="205">
        <f>'ROLL+VL BAS TL+NI'!B154</f>
        <v>25779</v>
      </c>
      <c r="I84" s="205">
        <f>'ROLL+VL BAS TL+NI'!C154</f>
        <v>32829</v>
      </c>
      <c r="J84" s="205">
        <f>'ROLL+VL BAS TL+NI'!D154</f>
        <v>47238</v>
      </c>
      <c r="K84" s="205">
        <f>'ROLL+VL BAS TL+NI'!E154</f>
        <v>0</v>
      </c>
      <c r="M84" s="171" t="str">
        <f>'ROLL+VL ILR TL+NI'!A154</f>
        <v>nov</v>
      </c>
      <c r="N84" s="205">
        <f>'ROLL+VL ILR TL+NI'!B154</f>
        <v>3219</v>
      </c>
      <c r="O84" s="205">
        <f>'ROLL+VL ILR TL+NI'!C154</f>
        <v>6714</v>
      </c>
      <c r="P84" s="205">
        <f>'ROLL+VL ILR TL+NI'!D154</f>
        <v>14325</v>
      </c>
      <c r="Q84" s="205">
        <f>'ROLL+VL ILR TL+NI'!E154</f>
        <v>0</v>
      </c>
      <c r="S84" s="171" t="str">
        <f>'ROLL+VL PVE TL+NI '!A154</f>
        <v>nov</v>
      </c>
      <c r="T84" s="205">
        <f>'ROLL+VL PVE TL+NI '!B154</f>
        <v>0</v>
      </c>
      <c r="U84" s="205">
        <f>'ROLL+VL PVE TL+NI '!C154</f>
        <v>0</v>
      </c>
      <c r="V84" s="205">
        <f>'ROLL+VL PVE TL+NI '!D154</f>
        <v>8532</v>
      </c>
      <c r="W84" s="205">
        <f>'ROLL+VL PVE TL+NI '!E154</f>
        <v>8532</v>
      </c>
    </row>
    <row r="85" spans="1:29" x14ac:dyDescent="0.25">
      <c r="A85" s="171" t="str">
        <f>'ROLL+VL AJA TL+NI '!A155</f>
        <v>déc</v>
      </c>
      <c r="B85" s="205">
        <f>'ROLL+VL AJA TL+NI '!B155</f>
        <v>1575</v>
      </c>
      <c r="C85" s="205">
        <f>'ROLL+VL AJA TL+NI '!C155</f>
        <v>13464</v>
      </c>
      <c r="D85" s="205">
        <f>'ROLL+VL AJA TL+NI '!D155</f>
        <v>10110</v>
      </c>
      <c r="E85" s="205">
        <f>'ROLL+VL AJA TL+NI '!E155</f>
        <v>0</v>
      </c>
      <c r="G85" s="171" t="str">
        <f>'ROLL+VL BAS TL+NI'!A155</f>
        <v>déc</v>
      </c>
      <c r="H85" s="205">
        <f>'ROLL+VL BAS TL+NI'!B155</f>
        <v>28857</v>
      </c>
      <c r="I85" s="205">
        <f>'ROLL+VL BAS TL+NI'!C155</f>
        <v>34254</v>
      </c>
      <c r="J85" s="205">
        <f>'ROLL+VL BAS TL+NI'!D155</f>
        <v>50793</v>
      </c>
      <c r="K85" s="205">
        <f>'ROLL+VL BAS TL+NI'!E155</f>
        <v>0</v>
      </c>
      <c r="M85" s="171" t="str">
        <f>'ROLL+VL ILR TL+NI'!A155</f>
        <v>déc</v>
      </c>
      <c r="N85" s="205">
        <f>'ROLL+VL ILR TL+NI'!B155</f>
        <v>1524</v>
      </c>
      <c r="O85" s="205">
        <f>'ROLL+VL ILR TL+NI'!C155</f>
        <v>9846</v>
      </c>
      <c r="P85" s="205">
        <f>'ROLL+VL ILR TL+NI'!D155</f>
        <v>7161</v>
      </c>
      <c r="Q85" s="205">
        <f>'ROLL+VL ILR TL+NI'!E155</f>
        <v>0</v>
      </c>
      <c r="S85" s="171" t="str">
        <f>'ROLL+VL PVE TL+NI '!A155</f>
        <v>déc</v>
      </c>
      <c r="T85" s="205">
        <f>'ROLL+VL PVE TL+NI '!B155</f>
        <v>0</v>
      </c>
      <c r="U85" s="205">
        <f>'ROLL+VL PVE TL+NI '!C155</f>
        <v>0</v>
      </c>
      <c r="V85" s="205">
        <f>'ROLL+VL PVE TL+NI '!D155</f>
        <v>8532</v>
      </c>
      <c r="W85" s="205">
        <f>'ROLL+VL PVE TL+NI '!E155</f>
        <v>8532</v>
      </c>
    </row>
    <row r="86" spans="1:29" x14ac:dyDescent="0.25">
      <c r="A86" s="171" t="str">
        <f>'ROLL+VL AJA TL+NI '!A156</f>
        <v>TOTAL</v>
      </c>
      <c r="B86" s="205">
        <f>'ROLL+VL AJA TL+NI '!B156</f>
        <v>297351</v>
      </c>
      <c r="C86" s="205">
        <f>'ROLL+VL AJA TL+NI '!C156</f>
        <v>224514</v>
      </c>
      <c r="D86" s="205">
        <f>'ROLL+VL AJA TL+NI '!D156</f>
        <v>251448</v>
      </c>
      <c r="E86" s="205">
        <f>'ROLL+VL AJA TL+NI '!E156</f>
        <v>242613</v>
      </c>
      <c r="G86" s="171" t="str">
        <f>'ROLL+VL BAS TL+NI'!A156</f>
        <v>TOTAL</v>
      </c>
      <c r="H86" s="205">
        <f>'ROLL+VL BAS TL+NI'!B156</f>
        <v>688125</v>
      </c>
      <c r="I86" s="205">
        <f>'ROLL+VL BAS TL+NI'!C156</f>
        <v>710109</v>
      </c>
      <c r="J86" s="205">
        <f>'ROLL+VL BAS TL+NI'!D156</f>
        <v>942705</v>
      </c>
      <c r="K86" s="205">
        <f>'ROLL+VL BAS TL+NI'!E156</f>
        <v>707063</v>
      </c>
      <c r="M86" s="171" t="str">
        <f>'ROLL+VL ILR TL+NI'!A156</f>
        <v>TOTAL</v>
      </c>
      <c r="N86" s="205">
        <f>'ROLL+VL ILR TL+NI'!B156</f>
        <v>393312</v>
      </c>
      <c r="O86" s="205">
        <f>'ROLL+VL ILR TL+NI'!C156</f>
        <v>307347</v>
      </c>
      <c r="P86" s="205">
        <f>'ROLL+VL ILR TL+NI'!D156</f>
        <v>223125</v>
      </c>
      <c r="Q86" s="205">
        <f>'ROLL+VL ILR TL+NI'!E156</f>
        <v>292649</v>
      </c>
      <c r="S86" s="171" t="str">
        <f>'ROLL+VL PVE TL+NI '!A156</f>
        <v>TOTAL</v>
      </c>
      <c r="T86" s="205">
        <f>'ROLL+VL PVE TL+NI '!B156</f>
        <v>0</v>
      </c>
      <c r="U86" s="205">
        <f>'ROLL+VL PVE TL+NI '!C156</f>
        <v>0</v>
      </c>
      <c r="V86" s="205">
        <f>'ROLL+VL PVE TL+NI '!D156</f>
        <v>66006</v>
      </c>
      <c r="W86" s="205">
        <f>'ROLL+VL PVE TL+NI '!E156</f>
        <v>66006</v>
      </c>
    </row>
    <row r="87" spans="1:29" x14ac:dyDescent="0.25">
      <c r="A87" s="32" t="str">
        <f>'ROLL+VL AJA TL+NI '!A157</f>
        <v>Source : CCI Nice</v>
      </c>
      <c r="B87" s="194"/>
      <c r="C87" s="194"/>
      <c r="D87" s="194"/>
      <c r="E87" s="195"/>
      <c r="G87" s="32" t="str">
        <f>'ROLL+VL BAS TL+NI'!A157</f>
        <v>Source : CCI Nice</v>
      </c>
      <c r="H87" s="194"/>
      <c r="I87" s="194"/>
      <c r="J87" s="194"/>
      <c r="K87" s="195"/>
      <c r="M87" s="32" t="str">
        <f>'ROLL+VL ILR TL+NI'!A157</f>
        <v>Source : CCI Nice</v>
      </c>
      <c r="N87" s="194"/>
      <c r="O87" s="194"/>
      <c r="P87" s="194"/>
      <c r="Q87" s="195"/>
      <c r="S87" s="32" t="str">
        <f>'ROLL+VL PVE TL+NI '!A157</f>
        <v>Source : CCI Nice</v>
      </c>
      <c r="T87" s="194"/>
      <c r="U87" s="194"/>
      <c r="V87" s="194"/>
      <c r="W87" s="195"/>
    </row>
    <row r="90" spans="1:29" ht="42.75" customHeight="1" x14ac:dyDescent="0.25">
      <c r="A90" s="209" t="s">
        <v>231</v>
      </c>
    </row>
    <row r="92" spans="1:29" ht="18.75" x14ac:dyDescent="0.25">
      <c r="A92" s="199" t="s">
        <v>225</v>
      </c>
      <c r="G92" s="199" t="s">
        <v>226</v>
      </c>
      <c r="H92" s="200"/>
      <c r="I92" s="200"/>
      <c r="J92" s="200"/>
      <c r="K92" s="200"/>
      <c r="L92" s="200"/>
      <c r="M92" s="199" t="s">
        <v>228</v>
      </c>
      <c r="N92" s="200"/>
      <c r="O92" s="200"/>
      <c r="P92" s="200"/>
      <c r="Q92" s="200"/>
      <c r="R92" s="199"/>
      <c r="S92" s="199" t="s">
        <v>229</v>
      </c>
      <c r="T92" s="200"/>
      <c r="U92" s="200"/>
      <c r="V92" s="200"/>
      <c r="W92" s="200"/>
      <c r="X92" s="200"/>
      <c r="Y92" s="199" t="s">
        <v>230</v>
      </c>
      <c r="Z92" s="200"/>
      <c r="AA92" s="200"/>
      <c r="AB92" s="200"/>
      <c r="AC92" s="200"/>
    </row>
    <row r="93" spans="1:29" x14ac:dyDescent="0.25">
      <c r="A93" s="204" t="str">
        <f>'PAX AJA TL+NI'!S1</f>
        <v>TAUX DE REMPLISSAGE PAX AJACCIO (TOULON + MARSEILLE + NICE)/ (TOULON+NICE)</v>
      </c>
      <c r="B93" s="194"/>
      <c r="C93" s="194"/>
      <c r="D93" s="194"/>
      <c r="E93" s="195"/>
      <c r="G93" s="204" t="str">
        <f>'PAX BAS TL+NI'!S1</f>
        <v>TAUX DE REMPLISSAGE PAX BASTIA (TOULON + MARSEILLE+NICE)/(TOULON+NICE)</v>
      </c>
      <c r="H93" s="194"/>
      <c r="I93" s="194"/>
      <c r="J93" s="194"/>
      <c r="K93" s="195"/>
      <c r="M93" s="204" t="str">
        <f>'PAX ILR TL+NI'!S1</f>
        <v>TAUX DE REMPLISSAGE  PAX ILE ROUSSE (TOULON + MARSEILLE+NICE)/(TOULON+NICE)</v>
      </c>
      <c r="N93" s="194"/>
      <c r="O93" s="194"/>
      <c r="P93" s="194"/>
      <c r="Q93" s="195"/>
      <c r="S93" s="204" t="str">
        <f>'PAX PVE TL+NI'!S1</f>
        <v>TAUX DE REMPLISSAGE PAX  PORTO VECCHIO (TOULON + MARSEILLE+NICE)/(TOULON+NICE)</v>
      </c>
      <c r="T93" s="194"/>
      <c r="U93" s="194"/>
      <c r="V93" s="194"/>
      <c r="W93" s="195"/>
    </row>
    <row r="94" spans="1:29" x14ac:dyDescent="0.25">
      <c r="A94" s="202"/>
      <c r="B94" s="203">
        <f>'PAX AJA TL+NI'!T2</f>
        <v>2014</v>
      </c>
      <c r="C94" s="203">
        <f>'PAX AJA TL+NI'!U2</f>
        <v>2015</v>
      </c>
      <c r="D94" s="203">
        <f>'PAX AJA TL+NI'!V2</f>
        <v>2016</v>
      </c>
      <c r="E94" s="203">
        <f>'PAX AJA TL+NI'!W2</f>
        <v>2017</v>
      </c>
      <c r="G94" s="202"/>
      <c r="H94" s="203">
        <f>'PAX BAS TL+NI'!T2</f>
        <v>2014</v>
      </c>
      <c r="I94" s="203">
        <f>'PAX BAS TL+NI'!U2</f>
        <v>2015</v>
      </c>
      <c r="J94" s="203">
        <f>'PAX BAS TL+NI'!V2</f>
        <v>2016</v>
      </c>
      <c r="K94" s="203">
        <f>'PAX BAS TL+NI'!W2</f>
        <v>2017</v>
      </c>
      <c r="M94" s="202"/>
      <c r="N94" s="203">
        <f>'PAX ILR TL+NI'!T2</f>
        <v>2014</v>
      </c>
      <c r="O94" s="203">
        <f>'PAX ILR TL+NI'!U2</f>
        <v>2015</v>
      </c>
      <c r="P94" s="203">
        <f>'PAX ILR TL+NI'!V2</f>
        <v>2016</v>
      </c>
      <c r="Q94" s="203">
        <f>'PAX ILR TL+NI'!W2</f>
        <v>2017</v>
      </c>
      <c r="S94" s="202"/>
      <c r="T94" s="203">
        <f>'PAX PVE TL+NI'!T2</f>
        <v>2014</v>
      </c>
      <c r="U94" s="203">
        <f>'PAX PVE TL+NI'!U2</f>
        <v>2015</v>
      </c>
      <c r="V94" s="203">
        <f>'PAX PVE TL+NI'!V2</f>
        <v>2016</v>
      </c>
      <c r="W94" s="203">
        <f>'PAX PVE TL+NI'!W2</f>
        <v>2017</v>
      </c>
    </row>
    <row r="95" spans="1:29" x14ac:dyDescent="0.25">
      <c r="A95" s="201" t="str">
        <f>'PAX AJA TL+NI'!S3</f>
        <v>jan</v>
      </c>
      <c r="B95" s="184">
        <f>'PAX AJA TL+NI'!T3</f>
        <v>0.14054206232367725</v>
      </c>
      <c r="C95" s="184">
        <f>'PAX AJA TL+NI'!U3</f>
        <v>0.17370474601926625</v>
      </c>
      <c r="D95" s="184">
        <f>'PAX AJA TL+NI'!V3</f>
        <v>0.15835136781266604</v>
      </c>
      <c r="E95" s="184">
        <f>'PAX AJA TL+NI'!W3</f>
        <v>0.13980038970662229</v>
      </c>
      <c r="G95" s="201" t="str">
        <f>'PAX BAS TL+NI'!S3</f>
        <v>jan</v>
      </c>
      <c r="H95" s="184">
        <f>'PAX BAS TL+NI'!T3</f>
        <v>0.21031545933605589</v>
      </c>
      <c r="I95" s="184">
        <f>'PAX BAS TL+NI'!U3</f>
        <v>0.23655149111731547</v>
      </c>
      <c r="J95" s="184">
        <f>'PAX BAS TL+NI'!V3</f>
        <v>0.20138881498430267</v>
      </c>
      <c r="K95" s="184">
        <f>'PAX BAS TL+NI'!W3</f>
        <v>0.21383707941752747</v>
      </c>
      <c r="M95" s="201" t="str">
        <f>'PAX ILR TL+NI'!S3</f>
        <v>jan</v>
      </c>
      <c r="N95" s="184">
        <f>'PAX ILR TL+NI'!T3</f>
        <v>0</v>
      </c>
      <c r="O95" s="184">
        <f>'PAX ILR TL+NI'!U3</f>
        <v>0.33914913957934989</v>
      </c>
      <c r="P95" s="184">
        <f>'PAX ILR TL+NI'!V3</f>
        <v>0</v>
      </c>
      <c r="Q95" s="184">
        <f>'PAX ILR TL+NI'!W3</f>
        <v>0.28077848239667613</v>
      </c>
      <c r="S95" s="201" t="str">
        <f>'PAX PVE TL+NI'!S3</f>
        <v>jan</v>
      </c>
      <c r="T95" s="184">
        <f>'PAX PVE TL+NI'!T3</f>
        <v>0</v>
      </c>
      <c r="U95" s="184">
        <f>'PAX PVE TL+NI'!U3</f>
        <v>0</v>
      </c>
      <c r="V95" s="184">
        <f>'PAX PVE TL+NI'!V3</f>
        <v>0.93301687763713081</v>
      </c>
      <c r="W95" s="184">
        <f>'PAX PVE TL+NI'!W3</f>
        <v>2.7051687763713081</v>
      </c>
    </row>
    <row r="96" spans="1:29" x14ac:dyDescent="0.25">
      <c r="A96" s="201" t="str">
        <f>'PAX AJA TL+NI'!S4</f>
        <v>fév</v>
      </c>
      <c r="B96" s="184">
        <f>'PAX AJA TL+NI'!T4</f>
        <v>0.15400919208417213</v>
      </c>
      <c r="C96" s="184">
        <f>'PAX AJA TL+NI'!U4</f>
        <v>0.17217421361908053</v>
      </c>
      <c r="D96" s="184">
        <f>'PAX AJA TL+NI'!V4</f>
        <v>0.17536184111953493</v>
      </c>
      <c r="E96" s="184">
        <f>'PAX AJA TL+NI'!W4</f>
        <v>0.17067155552533436</v>
      </c>
      <c r="G96" s="201" t="str">
        <f>'PAX BAS TL+NI'!S4</f>
        <v>fév</v>
      </c>
      <c r="H96" s="184">
        <f>'PAX BAS TL+NI'!T4</f>
        <v>0.22241658483928234</v>
      </c>
      <c r="I96" s="184">
        <f>'PAX BAS TL+NI'!U4</f>
        <v>0.2373562982146038</v>
      </c>
      <c r="J96" s="184">
        <f>'PAX BAS TL+NI'!V4</f>
        <v>0.24340598086417484</v>
      </c>
      <c r="K96" s="184">
        <f>'PAX BAS TL+NI'!W4</f>
        <v>0.23661723077876462</v>
      </c>
      <c r="M96" s="201" t="str">
        <f>'PAX ILR TL+NI'!S4</f>
        <v>fév</v>
      </c>
      <c r="N96" s="184">
        <f>'PAX ILR TL+NI'!T4</f>
        <v>0.19389931740614336</v>
      </c>
      <c r="O96" s="184">
        <f>'PAX ILR TL+NI'!U4</f>
        <v>0.26023603082851637</v>
      </c>
      <c r="P96" s="184">
        <f>'PAX ILR TL+NI'!V4</f>
        <v>0</v>
      </c>
      <c r="Q96" s="184">
        <f>'PAX ILR TL+NI'!W4</f>
        <v>0.26614315740308264</v>
      </c>
      <c r="S96" s="201" t="str">
        <f>'PAX PVE TL+NI'!S4</f>
        <v>fév</v>
      </c>
      <c r="T96" s="184">
        <f>'PAX PVE TL+NI'!T4</f>
        <v>2.5933962264150945</v>
      </c>
      <c r="U96" s="184">
        <f>'PAX PVE TL+NI'!U4</f>
        <v>0</v>
      </c>
      <c r="V96" s="184">
        <f>'PAX PVE TL+NI'!V4</f>
        <v>0</v>
      </c>
      <c r="W96" s="184">
        <f>'PAX PVE TL+NI'!W4</f>
        <v>0</v>
      </c>
    </row>
    <row r="97" spans="1:23" x14ac:dyDescent="0.25">
      <c r="A97" s="201" t="str">
        <f>'PAX AJA TL+NI'!S5</f>
        <v>mar</v>
      </c>
      <c r="B97" s="184">
        <f>'PAX AJA TL+NI'!T5</f>
        <v>0.18627985750553883</v>
      </c>
      <c r="C97" s="184">
        <f>'PAX AJA TL+NI'!U5</f>
        <v>0.19526094539959651</v>
      </c>
      <c r="D97" s="184">
        <f>'PAX AJA TL+NI'!V5</f>
        <v>0.1778810037423241</v>
      </c>
      <c r="E97" s="184">
        <f>'PAX AJA TL+NI'!W5</f>
        <v>0.16740774152195331</v>
      </c>
      <c r="G97" s="201" t="str">
        <f>'PAX BAS TL+NI'!S5</f>
        <v>mar</v>
      </c>
      <c r="H97" s="184">
        <f>'PAX BAS TL+NI'!T5</f>
        <v>0.2610586179319333</v>
      </c>
      <c r="I97" s="184">
        <f>'PAX BAS TL+NI'!U5</f>
        <v>0.24962592742060657</v>
      </c>
      <c r="J97" s="184">
        <f>'PAX BAS TL+NI'!V5</f>
        <v>0.24926549106756327</v>
      </c>
      <c r="K97" s="184">
        <f>'PAX BAS TL+NI'!W5</f>
        <v>0.2331777460361098</v>
      </c>
      <c r="M97" s="201" t="str">
        <f>'PAX ILR TL+NI'!S5</f>
        <v>mar</v>
      </c>
      <c r="N97" s="184">
        <f>'PAX ILR TL+NI'!T5</f>
        <v>0</v>
      </c>
      <c r="O97" s="184">
        <f>'PAX ILR TL+NI'!U5</f>
        <v>0.24913344887348354</v>
      </c>
      <c r="P97" s="184">
        <f>'PAX ILR TL+NI'!V5</f>
        <v>0</v>
      </c>
      <c r="Q97" s="184">
        <f>'PAX ILR TL+NI'!W5</f>
        <v>0</v>
      </c>
      <c r="S97" s="201" t="str">
        <f>'PAX PVE TL+NI'!S5</f>
        <v>mar</v>
      </c>
      <c r="T97" s="184">
        <f>'PAX PVE TL+NI'!T5</f>
        <v>0</v>
      </c>
      <c r="U97" s="184">
        <f>'PAX PVE TL+NI'!U5</f>
        <v>0</v>
      </c>
      <c r="V97" s="184">
        <f>'PAX PVE TL+NI'!V5</f>
        <v>0</v>
      </c>
      <c r="W97" s="184">
        <f>'PAX PVE TL+NI'!W5</f>
        <v>0</v>
      </c>
    </row>
    <row r="98" spans="1:23" x14ac:dyDescent="0.25">
      <c r="A98" s="201" t="str">
        <f>'PAX AJA TL+NI'!S6</f>
        <v>avr</v>
      </c>
      <c r="B98" s="184">
        <f>'PAX AJA TL+NI'!T6</f>
        <v>0.30243378265859533</v>
      </c>
      <c r="C98" s="184">
        <f>'PAX AJA TL+NI'!U6</f>
        <v>0.32487097640285195</v>
      </c>
      <c r="D98" s="184">
        <f>'PAX AJA TL+NI'!V6</f>
        <v>0.30590652474007896</v>
      </c>
      <c r="E98" s="184">
        <f>'PAX AJA TL+NI'!W6</f>
        <v>0.3926829141307121</v>
      </c>
      <c r="G98" s="201" t="str">
        <f>'PAX BAS TL+NI'!S6</f>
        <v>avr</v>
      </c>
      <c r="H98" s="184">
        <f>'PAX BAS TL+NI'!T6</f>
        <v>0.40939127066409942</v>
      </c>
      <c r="I98" s="184">
        <f>'PAX BAS TL+NI'!U6</f>
        <v>0.39047662620224077</v>
      </c>
      <c r="J98" s="184">
        <f>'PAX BAS TL+NI'!V6</f>
        <v>0.37087055798177748</v>
      </c>
      <c r="K98" s="184">
        <f>'PAX BAS TL+NI'!W6</f>
        <v>0.415080817916261</v>
      </c>
      <c r="M98" s="201" t="str">
        <f>'PAX ILR TL+NI'!S6</f>
        <v>avr</v>
      </c>
      <c r="N98" s="184">
        <f>'PAX ILR TL+NI'!T6</f>
        <v>0.49846671652954377</v>
      </c>
      <c r="O98" s="184">
        <f>'PAX ILR TL+NI'!U6</f>
        <v>0.68483008810246537</v>
      </c>
      <c r="P98" s="184">
        <f>'PAX ILR TL+NI'!V6</f>
        <v>0.41362058403103941</v>
      </c>
      <c r="Q98" s="184">
        <f>'PAX ILR TL+NI'!W6</f>
        <v>0.50957814791141864</v>
      </c>
      <c r="S98" s="201" t="str">
        <f>'PAX PVE TL+NI'!S6</f>
        <v>avr</v>
      </c>
      <c r="T98" s="184">
        <f>'PAX PVE TL+NI'!T6</f>
        <v>0</v>
      </c>
      <c r="U98" s="184">
        <f>'PAX PVE TL+NI'!U6</f>
        <v>0</v>
      </c>
      <c r="V98" s="184">
        <f>'PAX PVE TL+NI'!V6</f>
        <v>0</v>
      </c>
      <c r="W98" s="184">
        <f>'PAX PVE TL+NI'!W6</f>
        <v>1.8051150895140664</v>
      </c>
    </row>
    <row r="99" spans="1:23" x14ac:dyDescent="0.25">
      <c r="A99" s="201" t="str">
        <f>'PAX AJA TL+NI'!S7</f>
        <v>mai</v>
      </c>
      <c r="B99" s="184">
        <f>'PAX AJA TL+NI'!T7</f>
        <v>0.40227459600959842</v>
      </c>
      <c r="C99" s="184">
        <f>'PAX AJA TL+NI'!U7</f>
        <v>0.42813124799847668</v>
      </c>
      <c r="D99" s="184">
        <f>'PAX AJA TL+NI'!V7</f>
        <v>0.39127765698938483</v>
      </c>
      <c r="E99" s="184">
        <f>'PAX AJA TL+NI'!W7</f>
        <v>0.35106091947954715</v>
      </c>
      <c r="G99" s="201" t="str">
        <f>'PAX BAS TL+NI'!S7</f>
        <v>mai</v>
      </c>
      <c r="H99" s="184">
        <f>'PAX BAS TL+NI'!T7</f>
        <v>0.49925301204819278</v>
      </c>
      <c r="I99" s="184">
        <f>'PAX BAS TL+NI'!U7</f>
        <v>0.47380617190127949</v>
      </c>
      <c r="J99" s="184">
        <f>'PAX BAS TL+NI'!V7</f>
        <v>0.4252049133903934</v>
      </c>
      <c r="K99" s="184">
        <f>'PAX BAS TL+NI'!W7</f>
        <v>0.40172078897905539</v>
      </c>
      <c r="M99" s="201" t="str">
        <f>'PAX ILR TL+NI'!S7</f>
        <v>mai</v>
      </c>
      <c r="N99" s="184">
        <f>'PAX ILR TL+NI'!T7</f>
        <v>0.50530263838592859</v>
      </c>
      <c r="O99" s="184">
        <f>'PAX ILR TL+NI'!U7</f>
        <v>0.49836328824655673</v>
      </c>
      <c r="P99" s="184">
        <f>'PAX ILR TL+NI'!V7</f>
        <v>0.56068376068376069</v>
      </c>
      <c r="Q99" s="184">
        <f>'PAX ILR TL+NI'!W7</f>
        <v>0.42142590255698037</v>
      </c>
      <c r="S99" s="201" t="str">
        <f>'PAX PVE TL+NI'!S7</f>
        <v>mai</v>
      </c>
      <c r="T99" s="184">
        <f>'PAX PVE TL+NI'!T7</f>
        <v>0</v>
      </c>
      <c r="U99" s="184">
        <f>'PAX PVE TL+NI'!U7</f>
        <v>0</v>
      </c>
      <c r="V99" s="184">
        <f>'PAX PVE TL+NI'!V7</f>
        <v>0</v>
      </c>
      <c r="W99" s="184">
        <f>'PAX PVE TL+NI'!W7</f>
        <v>2.1857500000000001</v>
      </c>
    </row>
    <row r="100" spans="1:23" x14ac:dyDescent="0.25">
      <c r="A100" s="201" t="str">
        <f>'PAX AJA TL+NI'!S8</f>
        <v>juin</v>
      </c>
      <c r="B100" s="184">
        <f>'PAX AJA TL+NI'!T8</f>
        <v>0.40295562015650971</v>
      </c>
      <c r="C100" s="184">
        <f>'PAX AJA TL+NI'!U8</f>
        <v>0.36308862879298104</v>
      </c>
      <c r="D100" s="184">
        <f>'PAX AJA TL+NI'!V8</f>
        <v>0.37520338431500161</v>
      </c>
      <c r="E100" s="184">
        <f>'PAX AJA TL+NI'!W8</f>
        <v>0.40013944938621143</v>
      </c>
      <c r="G100" s="201" t="str">
        <f>'PAX BAS TL+NI'!S8</f>
        <v>juin</v>
      </c>
      <c r="H100" s="184">
        <f>'PAX BAS TL+NI'!T8</f>
        <v>0.50455641738489942</v>
      </c>
      <c r="I100" s="184">
        <f>'PAX BAS TL+NI'!U8</f>
        <v>0.43777250307223542</v>
      </c>
      <c r="J100" s="184">
        <f>'PAX BAS TL+NI'!V8</f>
        <v>0.34217927287234218</v>
      </c>
      <c r="K100" s="184">
        <f>'PAX BAS TL+NI'!W8</f>
        <v>0.42967180298522983</v>
      </c>
      <c r="M100" s="201" t="str">
        <f>'PAX ILR TL+NI'!S8</f>
        <v>juin</v>
      </c>
      <c r="N100" s="184">
        <f>'PAX ILR TL+NI'!T8</f>
        <v>0.38095718561867287</v>
      </c>
      <c r="O100" s="184">
        <f>'PAX ILR TL+NI'!U8</f>
        <v>0.35501475893735651</v>
      </c>
      <c r="P100" s="184">
        <f>'PAX ILR TL+NI'!V8</f>
        <v>0.42367434386716657</v>
      </c>
      <c r="Q100" s="184">
        <f>'PAX ILR TL+NI'!W8</f>
        <v>0.47053322584360247</v>
      </c>
      <c r="S100" s="201" t="str">
        <f>'PAX PVE TL+NI'!S8</f>
        <v>juin</v>
      </c>
      <c r="T100" s="184">
        <f>'PAX PVE TL+NI'!T8</f>
        <v>0</v>
      </c>
      <c r="U100" s="184">
        <f>'PAX PVE TL+NI'!U8</f>
        <v>0</v>
      </c>
      <c r="V100" s="184">
        <f>'PAX PVE TL+NI'!V8</f>
        <v>0.81508384898215402</v>
      </c>
      <c r="W100" s="184">
        <f>'PAX PVE TL+NI'!W8</f>
        <v>0.82896860986547083</v>
      </c>
    </row>
    <row r="101" spans="1:23" x14ac:dyDescent="0.25">
      <c r="A101" s="201" t="str">
        <f>'PAX AJA TL+NI'!S9</f>
        <v>juil</v>
      </c>
      <c r="B101" s="184">
        <f>'PAX AJA TL+NI'!T9</f>
        <v>0.58069340371051104</v>
      </c>
      <c r="C101" s="184">
        <f>'PAX AJA TL+NI'!U9</f>
        <v>0.65423281330361738</v>
      </c>
      <c r="D101" s="184">
        <f>'PAX AJA TL+NI'!V9</f>
        <v>0.61530946963667632</v>
      </c>
      <c r="E101" s="184">
        <f>'PAX AJA TL+NI'!W9</f>
        <v>0.62625672411404343</v>
      </c>
      <c r="G101" s="201" t="str">
        <f>'PAX BAS TL+NI'!S9</f>
        <v>juil</v>
      </c>
      <c r="H101" s="184">
        <f>'PAX BAS TL+NI'!T9</f>
        <v>0.693794990559358</v>
      </c>
      <c r="I101" s="184">
        <f>'PAX BAS TL+NI'!U9</f>
        <v>0.7010843772308698</v>
      </c>
      <c r="J101" s="184">
        <f>'PAX BAS TL+NI'!V9</f>
        <v>0.54841887198651418</v>
      </c>
      <c r="K101" s="184">
        <f>'PAX BAS TL+NI'!W9</f>
        <v>0.60346972104872254</v>
      </c>
      <c r="M101" s="201" t="str">
        <f>'PAX ILR TL+NI'!S9</f>
        <v>juil</v>
      </c>
      <c r="N101" s="184">
        <f>'PAX ILR TL+NI'!T9</f>
        <v>0.43263697426123643</v>
      </c>
      <c r="O101" s="184">
        <f>'PAX ILR TL+NI'!U9</f>
        <v>0.51003238571794329</v>
      </c>
      <c r="P101" s="184">
        <f>'PAX ILR TL+NI'!V9</f>
        <v>0.58239526773495787</v>
      </c>
      <c r="Q101" s="184">
        <f>'PAX ILR TL+NI'!W9</f>
        <v>0.4433745561405657</v>
      </c>
      <c r="S101" s="201" t="str">
        <f>'PAX PVE TL+NI'!S9</f>
        <v>juil</v>
      </c>
      <c r="T101" s="184">
        <f>'PAX PVE TL+NI'!T9</f>
        <v>0</v>
      </c>
      <c r="U101" s="184">
        <f>'PAX PVE TL+NI'!U9</f>
        <v>0</v>
      </c>
      <c r="V101" s="184">
        <f>'PAX PVE TL+NI'!V9</f>
        <v>1.5934041733193856</v>
      </c>
      <c r="W101" s="184">
        <f>'PAX PVE TL+NI'!W9</f>
        <v>1.2393951143854207</v>
      </c>
    </row>
    <row r="102" spans="1:23" x14ac:dyDescent="0.25">
      <c r="A102" s="201" t="str">
        <f>'PAX AJA TL+NI'!S10</f>
        <v>aou</v>
      </c>
      <c r="B102" s="184">
        <f>'PAX AJA TL+NI'!T10</f>
        <v>0.79553941060925881</v>
      </c>
      <c r="C102" s="184">
        <f>'PAX AJA TL+NI'!U10</f>
        <v>0.8206900246437373</v>
      </c>
      <c r="D102" s="184">
        <f>'PAX AJA TL+NI'!V10</f>
        <v>0.74652161393316308</v>
      </c>
      <c r="E102" s="184">
        <f>'PAX AJA TL+NI'!W10</f>
        <v>0.73939480545235026</v>
      </c>
      <c r="G102" s="201" t="str">
        <f>'PAX BAS TL+NI'!S10</f>
        <v>aou</v>
      </c>
      <c r="H102" s="184">
        <f>'PAX BAS TL+NI'!T10</f>
        <v>0.9450075129309099</v>
      </c>
      <c r="I102" s="184">
        <f>'PAX BAS TL+NI'!U10</f>
        <v>0.88115781799536941</v>
      </c>
      <c r="J102" s="184">
        <f>'PAX BAS TL+NI'!V10</f>
        <v>0.7091376555204747</v>
      </c>
      <c r="K102" s="184">
        <f>'PAX BAS TL+NI'!W10</f>
        <v>0.77360359089766306</v>
      </c>
      <c r="M102" s="201" t="str">
        <f>'PAX ILR TL+NI'!S10</f>
        <v>aou</v>
      </c>
      <c r="N102" s="184">
        <f>'PAX ILR TL+NI'!T10</f>
        <v>0.62673707806451173</v>
      </c>
      <c r="O102" s="184">
        <f>'PAX ILR TL+NI'!U10</f>
        <v>0.61854452413359862</v>
      </c>
      <c r="P102" s="184">
        <f>'PAX ILR TL+NI'!V10</f>
        <v>0.6264355893384671</v>
      </c>
      <c r="Q102" s="184">
        <f>'PAX ILR TL+NI'!W10</f>
        <v>0.51499456957541179</v>
      </c>
      <c r="S102" s="201" t="str">
        <f>'PAX PVE TL+NI'!S10</f>
        <v>aou</v>
      </c>
      <c r="T102" s="184">
        <f>'PAX PVE TL+NI'!T10</f>
        <v>0</v>
      </c>
      <c r="U102" s="184">
        <f>'PAX PVE TL+NI'!U10</f>
        <v>0</v>
      </c>
      <c r="V102" s="184">
        <f>'PAX PVE TL+NI'!V10</f>
        <v>1.252659186944485</v>
      </c>
      <c r="W102" s="184">
        <f>'PAX PVE TL+NI'!W10</f>
        <v>1.2850923638075067</v>
      </c>
    </row>
    <row r="103" spans="1:23" x14ac:dyDescent="0.25">
      <c r="A103" s="201" t="str">
        <f>'PAX AJA TL+NI'!S11</f>
        <v>sep</v>
      </c>
      <c r="B103" s="184">
        <f>'PAX AJA TL+NI'!T11</f>
        <v>0.45101655766415949</v>
      </c>
      <c r="C103" s="184">
        <f>'PAX AJA TL+NI'!U11</f>
        <v>0.45606275133884866</v>
      </c>
      <c r="D103" s="184">
        <f>'PAX AJA TL+NI'!V11</f>
        <v>0.42510037968387981</v>
      </c>
      <c r="E103" s="184">
        <f>'PAX AJA TL+NI'!W11</f>
        <v>0.46779174218621278</v>
      </c>
      <c r="G103" s="201" t="str">
        <f>'PAX BAS TL+NI'!S11</f>
        <v>sep</v>
      </c>
      <c r="H103" s="184">
        <f>'PAX BAS TL+NI'!T11</f>
        <v>0.52339039465311554</v>
      </c>
      <c r="I103" s="184">
        <f>'PAX BAS TL+NI'!U11</f>
        <v>0.49957884451781909</v>
      </c>
      <c r="J103" s="184">
        <f>'PAX BAS TL+NI'!V11</f>
        <v>0.46730562059493475</v>
      </c>
      <c r="K103" s="184">
        <f>'PAX BAS TL+NI'!W11</f>
        <v>0.47432597904430907</v>
      </c>
      <c r="M103" s="201" t="str">
        <f>'PAX ILR TL+NI'!S11</f>
        <v>sep</v>
      </c>
      <c r="N103" s="184">
        <f>'PAX ILR TL+NI'!T11</f>
        <v>0.461454002012952</v>
      </c>
      <c r="O103" s="184">
        <f>'PAX ILR TL+NI'!U11</f>
        <v>0.45892015943954584</v>
      </c>
      <c r="P103" s="184">
        <f>'PAX ILR TL+NI'!V11</f>
        <v>0.44233733871138048</v>
      </c>
      <c r="Q103" s="184">
        <f>'PAX ILR TL+NI'!W11</f>
        <v>0.44916524713100042</v>
      </c>
      <c r="S103" s="201" t="str">
        <f>'PAX PVE TL+NI'!S11</f>
        <v>sep</v>
      </c>
      <c r="T103" s="184">
        <f>'PAX PVE TL+NI'!T11</f>
        <v>0</v>
      </c>
      <c r="U103" s="184">
        <f>'PAX PVE TL+NI'!U11</f>
        <v>0</v>
      </c>
      <c r="V103" s="184">
        <f>'PAX PVE TL+NI'!V11</f>
        <v>0.75876370099733381</v>
      </c>
      <c r="W103" s="184">
        <f>'PAX PVE TL+NI'!W11</f>
        <v>0.74280178434641553</v>
      </c>
    </row>
    <row r="104" spans="1:23" x14ac:dyDescent="0.25">
      <c r="A104" s="201" t="str">
        <f>'PAX AJA TL+NI'!S12</f>
        <v>oct</v>
      </c>
      <c r="B104" s="184">
        <f>'PAX AJA TL+NI'!T12</f>
        <v>0.37266448610693276</v>
      </c>
      <c r="C104" s="184">
        <f>'PAX AJA TL+NI'!U12</f>
        <v>0.42813632462330725</v>
      </c>
      <c r="D104" s="184">
        <f>'PAX AJA TL+NI'!V12</f>
        <v>0.3493882307244125</v>
      </c>
      <c r="E104" s="184">
        <f>'PAX AJA TL+NI'!W12</f>
        <v>0.3665477275981342</v>
      </c>
      <c r="G104" s="201" t="str">
        <f>'PAX BAS TL+NI'!S12</f>
        <v>oct</v>
      </c>
      <c r="H104" s="184">
        <f>'PAX BAS TL+NI'!T12</f>
        <v>0.45034950198758317</v>
      </c>
      <c r="I104" s="184">
        <f>'PAX BAS TL+NI'!U12</f>
        <v>0.43456178442644117</v>
      </c>
      <c r="J104" s="184">
        <f>'PAX BAS TL+NI'!V12</f>
        <v>0.44701493354953931</v>
      </c>
      <c r="K104" s="184">
        <f>'PAX BAS TL+NI'!W12</f>
        <v>0.37915158110625119</v>
      </c>
      <c r="M104" s="201" t="str">
        <f>'PAX ILR TL+NI'!S12</f>
        <v>oct</v>
      </c>
      <c r="N104" s="184">
        <f>'PAX ILR TL+NI'!T12</f>
        <v>0.78628708901363276</v>
      </c>
      <c r="O104" s="184">
        <f>'PAX ILR TL+NI'!U12</f>
        <v>1.6263185654008439</v>
      </c>
      <c r="P104" s="184">
        <f>'PAX ILR TL+NI'!V12</f>
        <v>0.73526077097505671</v>
      </c>
      <c r="Q104" s="184">
        <f>'PAX ILR TL+NI'!W12</f>
        <v>0.71733561058923989</v>
      </c>
      <c r="S104" s="201" t="str">
        <f>'PAX PVE TL+NI'!S12</f>
        <v>oct</v>
      </c>
      <c r="T104" s="184">
        <f>'PAX PVE TL+NI'!T12</f>
        <v>0</v>
      </c>
      <c r="U104" s="184">
        <f>'PAX PVE TL+NI'!U12</f>
        <v>0</v>
      </c>
      <c r="V104" s="184">
        <f>'PAX PVE TL+NI'!V12</f>
        <v>0.38139313840861772</v>
      </c>
      <c r="W104" s="184">
        <f>'PAX PVE TL+NI'!W12</f>
        <v>1.1338745007086715</v>
      </c>
    </row>
    <row r="105" spans="1:23" x14ac:dyDescent="0.25">
      <c r="A105" s="201" t="str">
        <f>'PAX AJA TL+NI'!S13</f>
        <v>nov</v>
      </c>
      <c r="B105" s="184">
        <f>'PAX AJA TL+NI'!T13</f>
        <v>0.19084539574992301</v>
      </c>
      <c r="C105" s="184">
        <f>'PAX AJA TL+NI'!U13</f>
        <v>0.16777407393535337</v>
      </c>
      <c r="D105" s="184">
        <f>'PAX AJA TL+NI'!V13</f>
        <v>0.16862546893797561</v>
      </c>
      <c r="E105" s="184">
        <f>'PAX AJA TL+NI'!W13</f>
        <v>0</v>
      </c>
      <c r="G105" s="201" t="str">
        <f>'PAX BAS TL+NI'!S13</f>
        <v>nov</v>
      </c>
      <c r="H105" s="184">
        <f>'PAX BAS TL+NI'!T13</f>
        <v>0.24394665965972542</v>
      </c>
      <c r="I105" s="184">
        <f>'PAX BAS TL+NI'!U13</f>
        <v>0.20932018554357509</v>
      </c>
      <c r="J105" s="184">
        <f>'PAX BAS TL+NI'!V13</f>
        <v>0.206357067284965</v>
      </c>
      <c r="K105" s="184">
        <f>'PAX BAS TL+NI'!W13</f>
        <v>0</v>
      </c>
      <c r="M105" s="201" t="str">
        <f>'PAX ILR TL+NI'!S13</f>
        <v>nov</v>
      </c>
      <c r="N105" s="184">
        <f>'PAX ILR TL+NI'!T13</f>
        <v>0.26630963972736127</v>
      </c>
      <c r="O105" s="184">
        <f>'PAX ILR TL+NI'!U13</f>
        <v>0</v>
      </c>
      <c r="P105" s="184">
        <f>'PAX ILR TL+NI'!V13</f>
        <v>0</v>
      </c>
      <c r="Q105" s="184">
        <f>'PAX ILR TL+NI'!W13</f>
        <v>0</v>
      </c>
      <c r="S105" s="201" t="str">
        <f>'PAX PVE TL+NI'!S13</f>
        <v>nov</v>
      </c>
      <c r="T105" s="184">
        <f>'PAX PVE TL+NI'!T13</f>
        <v>0</v>
      </c>
      <c r="U105" s="184">
        <f>'PAX PVE TL+NI'!U13</f>
        <v>0</v>
      </c>
      <c r="V105" s="184">
        <f>'PAX PVE TL+NI'!V13</f>
        <v>0.39959263729631866</v>
      </c>
      <c r="W105" s="184">
        <f>'PAX PVE TL+NI'!W13</f>
        <v>0</v>
      </c>
    </row>
    <row r="106" spans="1:23" x14ac:dyDescent="0.25">
      <c r="A106" s="201" t="str">
        <f>'PAX AJA TL+NI'!S14</f>
        <v>déc</v>
      </c>
      <c r="B106" s="184">
        <f>'PAX AJA TL+NI'!T14</f>
        <v>0.24474310383580966</v>
      </c>
      <c r="C106" s="184">
        <f>'PAX AJA TL+NI'!U14</f>
        <v>0.19865180026197246</v>
      </c>
      <c r="D106" s="184">
        <f>'PAX AJA TL+NI'!V14</f>
        <v>0.21803499327052489</v>
      </c>
      <c r="E106" s="184">
        <f>'PAX AJA TL+NI'!W14</f>
        <v>0</v>
      </c>
      <c r="G106" s="201" t="str">
        <f>'PAX BAS TL+NI'!S14</f>
        <v>déc</v>
      </c>
      <c r="H106" s="184">
        <f>'PAX BAS TL+NI'!T14</f>
        <v>0.33251259699839264</v>
      </c>
      <c r="I106" s="184">
        <f>'PAX BAS TL+NI'!U14</f>
        <v>0.2953011914690119</v>
      </c>
      <c r="J106" s="184">
        <f>'PAX BAS TL+NI'!V14</f>
        <v>0.2496273823743935</v>
      </c>
      <c r="K106" s="184">
        <f>'PAX BAS TL+NI'!W14</f>
        <v>0</v>
      </c>
      <c r="M106" s="201" t="str">
        <f>'PAX ILR TL+NI'!S14</f>
        <v>déc</v>
      </c>
      <c r="N106" s="184">
        <f>'PAX ILR TL+NI'!T14</f>
        <v>0.62786989795918369</v>
      </c>
      <c r="O106" s="184">
        <f>'PAX ILR TL+NI'!U14</f>
        <v>0</v>
      </c>
      <c r="P106" s="184">
        <f>'PAX ILR TL+NI'!V14</f>
        <v>0.25067649260176178</v>
      </c>
      <c r="Q106" s="184">
        <f>'PAX ILR TL+NI'!W14</f>
        <v>0</v>
      </c>
      <c r="S106" s="201" t="str">
        <f>'PAX PVE TL+NI'!S14</f>
        <v>déc</v>
      </c>
      <c r="T106" s="184">
        <f>'PAX PVE TL+NI'!T14</f>
        <v>0</v>
      </c>
      <c r="U106" s="184">
        <f>'PAX PVE TL+NI'!U14</f>
        <v>0</v>
      </c>
      <c r="V106" s="184">
        <f>'PAX PVE TL+NI'!V14</f>
        <v>0.2593899212311061</v>
      </c>
      <c r="W106" s="184">
        <f>'PAX PVE TL+NI'!W14</f>
        <v>0</v>
      </c>
    </row>
    <row r="107" spans="1:23" x14ac:dyDescent="0.25">
      <c r="A107" s="201" t="str">
        <f>'PAX AJA TL+NI'!S15</f>
        <v>MOYENNE</v>
      </c>
      <c r="B107" s="184">
        <f>'PAX AJA TL+NI'!T15</f>
        <v>0.3519997890345572</v>
      </c>
      <c r="C107" s="184">
        <f>'PAX AJA TL+NI'!U15</f>
        <v>0.36523154552825748</v>
      </c>
      <c r="D107" s="184">
        <f>'PAX AJA TL+NI'!V15</f>
        <v>0.34224682790880195</v>
      </c>
      <c r="E107" s="184">
        <f>'PAX AJA TL+NI'!W15</f>
        <v>0.38217539691011215</v>
      </c>
      <c r="G107" s="201" t="str">
        <f>'PAX BAS TL+NI'!S15</f>
        <v>MOYENNE</v>
      </c>
      <c r="H107" s="184">
        <f>'PAX BAS TL+NI'!T15</f>
        <v>0.44133275158279561</v>
      </c>
      <c r="I107" s="184">
        <f>'PAX BAS TL+NI'!U15</f>
        <v>0.42054943492594732</v>
      </c>
      <c r="J107" s="184">
        <f>'PAX BAS TL+NI'!V15</f>
        <v>0.37168138020594799</v>
      </c>
      <c r="K107" s="184">
        <f>'PAX BAS TL+NI'!W15</f>
        <v>0.41606563382098943</v>
      </c>
      <c r="M107" s="201" t="str">
        <f>'PAX ILR TL+NI'!S15</f>
        <v>MOYENNE</v>
      </c>
      <c r="N107" s="184">
        <f>'PAX ILR TL+NI'!T15</f>
        <v>0.47799205389791666</v>
      </c>
      <c r="O107" s="184">
        <f>'PAX ILR TL+NI'!U15</f>
        <v>0.56005423892596595</v>
      </c>
      <c r="P107" s="184">
        <f>'PAX ILR TL+NI'!V15</f>
        <v>0.50438551849294877</v>
      </c>
      <c r="Q107" s="184">
        <f>'PAX ILR TL+NI'!W15</f>
        <v>0.45259209994977528</v>
      </c>
      <c r="S107" s="201" t="str">
        <f>'PAX PVE TL+NI'!S15</f>
        <v>MOYENNE</v>
      </c>
      <c r="T107" s="184">
        <f>'PAX PVE TL+NI'!T15</f>
        <v>2.5933962264150945</v>
      </c>
      <c r="U107" s="184">
        <f>'PAX PVE TL+NI'!U15</f>
        <v>0</v>
      </c>
      <c r="V107" s="184">
        <f>'PAX PVE TL+NI'!V15</f>
        <v>0.79916293560206653</v>
      </c>
      <c r="W107" s="184">
        <f>'PAX PVE TL+NI'!W15</f>
        <v>1.4907707798748575</v>
      </c>
    </row>
    <row r="109" spans="1:23" x14ac:dyDescent="0.25">
      <c r="A109" s="204" t="str">
        <f>'ROLL+VL AJA TL+NI '!S1</f>
        <v>TAUX DE REMPLISSAGE ROLL AJACCIO (TOULON + MARSEILLE+NICE)/(TOULON+NICE)</v>
      </c>
      <c r="B109" s="194"/>
      <c r="C109" s="194"/>
      <c r="D109" s="194"/>
      <c r="E109" s="195"/>
      <c r="G109" s="204" t="str">
        <f>'ROLL+VL BAS TL+NI'!S1</f>
        <v>TAUX DE REMPLISSAGE ROLL BASTIA (TOULON + MARSEILLE+NICE)/(TOULON+NICE)</v>
      </c>
      <c r="H109" s="194"/>
      <c r="I109" s="194"/>
      <c r="J109" s="194"/>
      <c r="K109" s="195"/>
      <c r="M109" s="204" t="str">
        <f>'ROLL+VL ILR TL+NI'!S1</f>
        <v>TAUX DE REMPLISSAGE  ILE ROUSSE ROLL (TOULON + MARSEILLE+NICE)/(TOULON+NICE)</v>
      </c>
      <c r="N109" s="194"/>
      <c r="O109" s="194"/>
      <c r="P109" s="194"/>
      <c r="Q109" s="195"/>
      <c r="S109" s="204" t="str">
        <f>'ROLL+VL PVE TL+NI '!S1</f>
        <v>TAUX DE REMPLISSAGE ROLL PORTO VECCHIO (TOULON + MARSEILLE+NICE)/(TOULON+NICE)</v>
      </c>
      <c r="T109" s="194"/>
      <c r="U109" s="194"/>
      <c r="V109" s="194"/>
      <c r="W109" s="195"/>
    </row>
    <row r="110" spans="1:23" x14ac:dyDescent="0.25">
      <c r="A110" s="202"/>
      <c r="B110" s="203">
        <f>'ROLL+VL AJA TL+NI '!T2</f>
        <v>2014</v>
      </c>
      <c r="C110" s="203">
        <f>'ROLL+VL AJA TL+NI '!U2</f>
        <v>2015</v>
      </c>
      <c r="D110" s="203">
        <f>'ROLL+VL AJA TL+NI '!V2</f>
        <v>2016</v>
      </c>
      <c r="E110" s="203">
        <f>'ROLL+VL AJA TL+NI '!W2</f>
        <v>2017</v>
      </c>
      <c r="G110" s="202"/>
      <c r="H110" s="203">
        <f>'ROLL+VL BAS TL+NI'!T2</f>
        <v>2014</v>
      </c>
      <c r="I110" s="203">
        <f>'ROLL+VL BAS TL+NI'!U2</f>
        <v>2015</v>
      </c>
      <c r="J110" s="203">
        <f>'ROLL+VL BAS TL+NI'!V2</f>
        <v>2016</v>
      </c>
      <c r="K110" s="203">
        <f>'ROLL+VL BAS TL+NI'!W2</f>
        <v>2017</v>
      </c>
      <c r="M110" s="202"/>
      <c r="N110" s="203">
        <f>'ROLL+VL ILR TL+NI'!T2</f>
        <v>2014</v>
      </c>
      <c r="O110" s="203">
        <f>'ROLL+VL ILR TL+NI'!U2</f>
        <v>2015</v>
      </c>
      <c r="P110" s="203">
        <f>'ROLL+VL ILR TL+NI'!V2</f>
        <v>2016</v>
      </c>
      <c r="Q110" s="203">
        <f>'ROLL+VL ILR TL+NI'!W2</f>
        <v>2017</v>
      </c>
      <c r="S110" s="202"/>
      <c r="T110" s="203">
        <f>'ROLL+VL PVE TL+NI '!T2</f>
        <v>2014</v>
      </c>
      <c r="U110" s="203">
        <f>'ROLL+VL PVE TL+NI '!U2</f>
        <v>2015</v>
      </c>
      <c r="V110" s="203">
        <f>'ROLL+VL PVE TL+NI '!V2</f>
        <v>2016</v>
      </c>
      <c r="W110" s="203">
        <f>'ROLL+VL PVE TL+NI '!W2</f>
        <v>2017</v>
      </c>
    </row>
    <row r="111" spans="1:23" x14ac:dyDescent="0.25">
      <c r="A111" s="201" t="str">
        <f>'ROLL+VL AJA TL+NI '!S3</f>
        <v>jan</v>
      </c>
      <c r="B111" s="184">
        <f>'ROLL+VL AJA TL+NI '!T3</f>
        <v>1.9890824710894706</v>
      </c>
      <c r="C111" s="184">
        <f>'ROLL+VL AJA TL+NI '!U3</f>
        <v>2.1247950613979323</v>
      </c>
      <c r="D111" s="184">
        <f>'ROLL+VL AJA TL+NI '!V3</f>
        <v>2.1204776158250906</v>
      </c>
      <c r="E111" s="184">
        <f>'ROLL+VL AJA TL+NI '!W3</f>
        <v>2.4795344293221939</v>
      </c>
      <c r="G111" s="201" t="str">
        <f>'ROLL+VL BAS TL+NI'!S3</f>
        <v>jan</v>
      </c>
      <c r="H111" s="184">
        <f>'ROLL+VL BAS TL+NI'!T3</f>
        <v>3.1680805938494165</v>
      </c>
      <c r="I111" s="184">
        <f>'ROLL+VL BAS TL+NI'!U3</f>
        <v>3.9300210833284068</v>
      </c>
      <c r="J111" s="184">
        <f>'ROLL+VL BAS TL+NI'!V3</f>
        <v>3.3517666843992928</v>
      </c>
      <c r="K111" s="184">
        <f>'ROLL+VL BAS TL+NI'!W3</f>
        <v>3.8514351609589701</v>
      </c>
      <c r="M111" s="201" t="str">
        <f>'ROLL+VL ILR TL+NI'!S3</f>
        <v>jan</v>
      </c>
      <c r="N111" s="184">
        <f>'ROLL+VL ILR TL+NI'!T3</f>
        <v>0</v>
      </c>
      <c r="O111" s="184">
        <f>'ROLL+VL ILR TL+NI'!U3</f>
        <v>2.9662576687116564</v>
      </c>
      <c r="P111" s="184">
        <f>'ROLL+VL ILR TL+NI'!V3</f>
        <v>0</v>
      </c>
      <c r="Q111" s="184">
        <f>'ROLL+VL ILR TL+NI'!W3</f>
        <v>14.565217391304346</v>
      </c>
      <c r="S111" s="201" t="str">
        <f>'ROLL+VL PVE TL+NI '!S3</f>
        <v>jan</v>
      </c>
      <c r="T111" s="184">
        <f>'ROLL+VL PVE TL+NI '!T3</f>
        <v>0</v>
      </c>
      <c r="U111" s="184">
        <f>'ROLL+VL PVE TL+NI '!U3</f>
        <v>0</v>
      </c>
      <c r="V111" s="184">
        <f>'ROLL+VL PVE TL+NI '!V3</f>
        <v>17.408930669800235</v>
      </c>
      <c r="W111" s="184">
        <f>'ROLL+VL PVE TL+NI '!W3</f>
        <v>23.586956521739129</v>
      </c>
    </row>
    <row r="112" spans="1:23" x14ac:dyDescent="0.25">
      <c r="A112" s="201" t="str">
        <f>'ROLL+VL AJA TL+NI '!S4</f>
        <v>fév</v>
      </c>
      <c r="B112" s="184">
        <f>'ROLL+VL AJA TL+NI '!T4</f>
        <v>2.5070935739364741</v>
      </c>
      <c r="C112" s="184">
        <f>'ROLL+VL AJA TL+NI '!U4</f>
        <v>2.3883911405060365</v>
      </c>
      <c r="D112" s="184">
        <f>'ROLL+VL AJA TL+NI '!V4</f>
        <v>2.2273352331091161</v>
      </c>
      <c r="E112" s="184">
        <f>'ROLL+VL AJA TL+NI '!W4</f>
        <v>2.8091240591240592</v>
      </c>
      <c r="G112" s="201" t="str">
        <f>'ROLL+VL BAS TL+NI'!S4</f>
        <v>fév</v>
      </c>
      <c r="H112" s="184">
        <f>'ROLL+VL BAS TL+NI'!T4</f>
        <v>2.9492303369032382</v>
      </c>
      <c r="I112" s="184">
        <f>'ROLL+VL BAS TL+NI'!U4</f>
        <v>3.2449092093613752</v>
      </c>
      <c r="J112" s="184">
        <f>'ROLL+VL BAS TL+NI'!V4</f>
        <v>3.4467413270461433</v>
      </c>
      <c r="K112" s="184">
        <f>'ROLL+VL BAS TL+NI'!W4</f>
        <v>4.1904741868977995</v>
      </c>
      <c r="M112" s="201" t="str">
        <f>'ROLL+VL ILR TL+NI'!S4</f>
        <v>fév</v>
      </c>
      <c r="N112" s="184">
        <f>'ROLL+VL ILR TL+NI'!T4</f>
        <v>3.6119631901840492</v>
      </c>
      <c r="O112" s="184">
        <f>'ROLL+VL ILR TL+NI'!U4</f>
        <v>1.0653757668711656</v>
      </c>
      <c r="P112" s="184">
        <f>'ROLL+VL ILR TL+NI'!V4</f>
        <v>0</v>
      </c>
      <c r="Q112" s="184">
        <f>'ROLL+VL ILR TL+NI'!W4</f>
        <v>5.7405956112852659</v>
      </c>
      <c r="S112" s="201" t="str">
        <f>'ROLL+VL PVE TL+NI '!S4</f>
        <v>fév</v>
      </c>
      <c r="T112" s="184">
        <f>'ROLL+VL PVE TL+NI '!T4</f>
        <v>5.7783742331288339</v>
      </c>
      <c r="U112" s="184">
        <f>'ROLL+VL PVE TL+NI '!U4</f>
        <v>0</v>
      </c>
      <c r="V112" s="184">
        <f>'ROLL+VL PVE TL+NI '!V4</f>
        <v>0</v>
      </c>
      <c r="W112" s="184">
        <f>'ROLL+VL PVE TL+NI '!W4</f>
        <v>0</v>
      </c>
    </row>
    <row r="113" spans="1:23" x14ac:dyDescent="0.25">
      <c r="A113" s="201" t="str">
        <f>'ROLL+VL AJA TL+NI '!S5</f>
        <v>mar</v>
      </c>
      <c r="B113" s="184">
        <f>'ROLL+VL AJA TL+NI '!T5</f>
        <v>2.5453642138107799</v>
      </c>
      <c r="C113" s="184">
        <f>'ROLL+VL AJA TL+NI '!U5</f>
        <v>2.6229857693605982</v>
      </c>
      <c r="D113" s="184">
        <f>'ROLL+VL AJA TL+NI '!V5</f>
        <v>2.353734201455381</v>
      </c>
      <c r="E113" s="184">
        <f>'ROLL+VL AJA TL+NI '!W5</f>
        <v>3.2536279979191707</v>
      </c>
      <c r="G113" s="201" t="str">
        <f>'ROLL+VL BAS TL+NI'!S5</f>
        <v>mar</v>
      </c>
      <c r="H113" s="184">
        <f>'ROLL+VL BAS TL+NI'!T5</f>
        <v>2.9740952930508615</v>
      </c>
      <c r="I113" s="184">
        <f>'ROLL+VL BAS TL+NI'!U5</f>
        <v>3.4274705547528352</v>
      </c>
      <c r="J113" s="184">
        <f>'ROLL+VL BAS TL+NI'!V5</f>
        <v>3.5289464387201823</v>
      </c>
      <c r="K113" s="184">
        <f>'ROLL+VL BAS TL+NI'!W5</f>
        <v>3.5375494071146245</v>
      </c>
      <c r="M113" s="201" t="str">
        <f>'ROLL+VL ILR TL+NI'!S5</f>
        <v>mar</v>
      </c>
      <c r="N113" s="184">
        <f>'ROLL+VL ILR TL+NI'!T5</f>
        <v>0</v>
      </c>
      <c r="O113" s="184">
        <f>'ROLL+VL ILR TL+NI'!U5</f>
        <v>1.9271472392638036</v>
      </c>
      <c r="P113" s="184">
        <f>'ROLL+VL ILR TL+NI'!V5</f>
        <v>0</v>
      </c>
      <c r="Q113" s="184">
        <f>'ROLL+VL ILR TL+NI'!W5</f>
        <v>0</v>
      </c>
      <c r="S113" s="201" t="str">
        <f>'ROLL+VL PVE TL+NI '!S5</f>
        <v>mar</v>
      </c>
      <c r="T113" s="184">
        <f>'ROLL+VL PVE TL+NI '!T5</f>
        <v>0</v>
      </c>
      <c r="U113" s="184">
        <f>'ROLL+VL PVE TL+NI '!U5</f>
        <v>0</v>
      </c>
      <c r="V113" s="184">
        <f>'ROLL+VL PVE TL+NI '!V5</f>
        <v>0</v>
      </c>
      <c r="W113" s="184">
        <f>'ROLL+VL PVE TL+NI '!W5</f>
        <v>0</v>
      </c>
    </row>
    <row r="114" spans="1:23" x14ac:dyDescent="0.25">
      <c r="A114" s="201" t="str">
        <f>'ROLL+VL AJA TL+NI '!S6</f>
        <v>avr</v>
      </c>
      <c r="B114" s="184">
        <f>'ROLL+VL AJA TL+NI '!T6</f>
        <v>1.8635754326102851</v>
      </c>
      <c r="C114" s="184">
        <f>'ROLL+VL AJA TL+NI '!U6</f>
        <v>1.6979172467561396</v>
      </c>
      <c r="D114" s="184">
        <f>'ROLL+VL AJA TL+NI '!V6</f>
        <v>1.8018005273700533</v>
      </c>
      <c r="E114" s="184">
        <f>'ROLL+VL AJA TL+NI '!W6</f>
        <v>1.7214360587002095</v>
      </c>
      <c r="G114" s="201" t="str">
        <f>'ROLL+VL BAS TL+NI'!S6</f>
        <v>avr</v>
      </c>
      <c r="H114" s="184">
        <f>'ROLL+VL BAS TL+NI'!T6</f>
        <v>3.6402721345554188</v>
      </c>
      <c r="I114" s="184">
        <f>'ROLL+VL BAS TL+NI'!U6</f>
        <v>3.4714196225824132</v>
      </c>
      <c r="J114" s="184">
        <f>'ROLL+VL BAS TL+NI'!V6</f>
        <v>3.5446614413945619</v>
      </c>
      <c r="K114" s="184">
        <f>'ROLL+VL BAS TL+NI'!W6</f>
        <v>3.6124407658811477</v>
      </c>
      <c r="M114" s="201" t="str">
        <f>'ROLL+VL ILR TL+NI'!S6</f>
        <v>avr</v>
      </c>
      <c r="N114" s="184">
        <f>'ROLL+VL ILR TL+NI'!T6</f>
        <v>1.7665549036043586</v>
      </c>
      <c r="O114" s="184">
        <f>'ROLL+VL ILR TL+NI'!U6</f>
        <v>2.3980514961725818</v>
      </c>
      <c r="P114" s="184">
        <f>'ROLL+VL ILR TL+NI'!V6</f>
        <v>1.3668244783447308</v>
      </c>
      <c r="Q114" s="184">
        <f>'ROLL+VL ILR TL+NI'!W6</f>
        <v>1.2811557129738946</v>
      </c>
      <c r="S114" s="201" t="str">
        <f>'ROLL+VL PVE TL+NI '!S6</f>
        <v>avr</v>
      </c>
      <c r="T114" s="184">
        <f>'ROLL+VL PVE TL+NI '!T6</f>
        <v>0</v>
      </c>
      <c r="U114" s="184">
        <f>'ROLL+VL PVE TL+NI '!U6</f>
        <v>0</v>
      </c>
      <c r="V114" s="184">
        <f>'ROLL+VL PVE TL+NI '!V6</f>
        <v>0</v>
      </c>
      <c r="W114" s="184">
        <f>'ROLL+VL PVE TL+NI '!W6</f>
        <v>15.991117344553532</v>
      </c>
    </row>
    <row r="115" spans="1:23" x14ac:dyDescent="0.25">
      <c r="A115" s="201" t="str">
        <f>'ROLL+VL AJA TL+NI '!S7</f>
        <v>mai</v>
      </c>
      <c r="B115" s="184">
        <f>'ROLL+VL AJA TL+NI '!T7</f>
        <v>2.0229939081880954</v>
      </c>
      <c r="C115" s="184">
        <f>'ROLL+VL AJA TL+NI '!U7</f>
        <v>2.3427458161360537</v>
      </c>
      <c r="D115" s="184">
        <f>'ROLL+VL AJA TL+NI '!V7</f>
        <v>3.4615144347796116</v>
      </c>
      <c r="E115" s="184">
        <f>'ROLL+VL AJA TL+NI '!W7</f>
        <v>3.3999561964294172</v>
      </c>
      <c r="G115" s="201" t="str">
        <f>'ROLL+VL BAS TL+NI'!S7</f>
        <v>mai</v>
      </c>
      <c r="H115" s="184">
        <f>'ROLL+VL BAS TL+NI'!T7</f>
        <v>5.609821149994465</v>
      </c>
      <c r="I115" s="184">
        <f>'ROLL+VL BAS TL+NI'!U7</f>
        <v>5.2240652376985031</v>
      </c>
      <c r="J115" s="184">
        <f>'ROLL+VL BAS TL+NI'!V7</f>
        <v>5.5044155634076937</v>
      </c>
      <c r="K115" s="184">
        <f>'ROLL+VL BAS TL+NI'!W7</f>
        <v>6.2483621330509518</v>
      </c>
      <c r="M115" s="201" t="str">
        <f>'ROLL+VL ILR TL+NI'!S7</f>
        <v>mai</v>
      </c>
      <c r="N115" s="184">
        <f>'ROLL+VL ILR TL+NI'!T7</f>
        <v>1.4497727703086536</v>
      </c>
      <c r="O115" s="184">
        <f>'ROLL+VL ILR TL+NI'!U7</f>
        <v>1.7869349739383065</v>
      </c>
      <c r="P115" s="184">
        <f>'ROLL+VL ILR TL+NI'!V7</f>
        <v>3.4187830182674555</v>
      </c>
      <c r="Q115" s="184">
        <f>'ROLL+VL ILR TL+NI'!W7</f>
        <v>1.3125846976522726</v>
      </c>
      <c r="S115" s="201" t="str">
        <f>'ROLL+VL PVE TL+NI '!S7</f>
        <v>mai</v>
      </c>
      <c r="T115" s="184">
        <f>'ROLL+VL PVE TL+NI '!T7</f>
        <v>0</v>
      </c>
      <c r="U115" s="184">
        <f>'ROLL+VL PVE TL+NI '!U7</f>
        <v>0</v>
      </c>
      <c r="V115" s="184">
        <f>'ROLL+VL PVE TL+NI '!V7</f>
        <v>0</v>
      </c>
      <c r="W115" s="184">
        <f>'ROLL+VL PVE TL+NI '!W7</f>
        <v>41.882352941176471</v>
      </c>
    </row>
    <row r="116" spans="1:23" x14ac:dyDescent="0.25">
      <c r="A116" s="201" t="str">
        <f>'ROLL+VL AJA TL+NI '!S8</f>
        <v>juin</v>
      </c>
      <c r="B116" s="184">
        <f>'ROLL+VL AJA TL+NI '!T8</f>
        <v>2.4186555803146663</v>
      </c>
      <c r="C116" s="184">
        <f>'ROLL+VL AJA TL+NI '!U8</f>
        <v>2.5201407148603061</v>
      </c>
      <c r="D116" s="184">
        <f>'ROLL+VL AJA TL+NI '!V8</f>
        <v>2.8671517457705558</v>
      </c>
      <c r="E116" s="184">
        <f>'ROLL+VL AJA TL+NI '!W8</f>
        <v>3.4800567423230975</v>
      </c>
      <c r="G116" s="201" t="str">
        <f>'ROLL+VL BAS TL+NI'!S8</f>
        <v>juin</v>
      </c>
      <c r="H116" s="184">
        <f>'ROLL+VL BAS TL+NI'!T8</f>
        <v>6.4460828314809673</v>
      </c>
      <c r="I116" s="184">
        <f>'ROLL+VL BAS TL+NI'!U8</f>
        <v>6.1748268344077948</v>
      </c>
      <c r="J116" s="184">
        <f>'ROLL+VL BAS TL+NI'!V8</f>
        <v>5.8115110564473023</v>
      </c>
      <c r="K116" s="184">
        <f>'ROLL+VL BAS TL+NI'!W8</f>
        <v>6.0464647392706929</v>
      </c>
      <c r="M116" s="201" t="str">
        <f>'ROLL+VL ILR TL+NI'!S8</f>
        <v>juin</v>
      </c>
      <c r="N116" s="184">
        <f>'ROLL+VL ILR TL+NI'!T8</f>
        <v>1.3814291323125245</v>
      </c>
      <c r="O116" s="184">
        <f>'ROLL+VL ILR TL+NI'!U8</f>
        <v>1.3385945815191098</v>
      </c>
      <c r="P116" s="184">
        <f>'ROLL+VL ILR TL+NI'!V8</f>
        <v>1.5496838018909274</v>
      </c>
      <c r="Q116" s="184">
        <f>'ROLL+VL ILR TL+NI'!W8</f>
        <v>1.5603708009851356</v>
      </c>
      <c r="S116" s="201" t="str">
        <f>'ROLL+VL PVE TL+NI '!S8</f>
        <v>juin</v>
      </c>
      <c r="T116" s="184">
        <f>'ROLL+VL PVE TL+NI '!T8</f>
        <v>0</v>
      </c>
      <c r="U116" s="184">
        <f>'ROLL+VL PVE TL+NI '!U8</f>
        <v>0</v>
      </c>
      <c r="V116" s="184">
        <f>'ROLL+VL PVE TL+NI '!V8</f>
        <v>18.796386917869668</v>
      </c>
      <c r="W116" s="184">
        <f>'ROLL+VL PVE TL+NI '!W8</f>
        <v>19.025244661921707</v>
      </c>
    </row>
    <row r="117" spans="1:23" x14ac:dyDescent="0.25">
      <c r="A117" s="201" t="str">
        <f>'ROLL+VL AJA TL+NI '!S9</f>
        <v>juil</v>
      </c>
      <c r="B117" s="184">
        <f>'ROLL+VL AJA TL+NI '!T9</f>
        <v>2.546206748334408</v>
      </c>
      <c r="C117" s="184">
        <f>'ROLL+VL AJA TL+NI '!U9</f>
        <v>2.7342891015651145</v>
      </c>
      <c r="D117" s="184">
        <f>'ROLL+VL AJA TL+NI '!V9</f>
        <v>2.2617056044300545</v>
      </c>
      <c r="E117" s="184">
        <f>'ROLL+VL AJA TL+NI '!W9</f>
        <v>2.4123057509151531</v>
      </c>
      <c r="G117" s="201" t="str">
        <f>'ROLL+VL BAS TL+NI'!S9</f>
        <v>juil</v>
      </c>
      <c r="H117" s="184">
        <f>'ROLL+VL BAS TL+NI'!T9</f>
        <v>5.7774278833183725</v>
      </c>
      <c r="I117" s="184">
        <f>'ROLL+VL BAS TL+NI'!U9</f>
        <v>5.8780754756585747</v>
      </c>
      <c r="J117" s="184">
        <f>'ROLL+VL BAS TL+NI'!V9</f>
        <v>5.6419165586886333</v>
      </c>
      <c r="K117" s="184">
        <f>'ROLL+VL BAS TL+NI'!W9</f>
        <v>5.1029708126712414</v>
      </c>
      <c r="M117" s="201" t="str">
        <f>'ROLL+VL ILR TL+NI'!S9</f>
        <v>juil</v>
      </c>
      <c r="N117" s="184">
        <f>'ROLL+VL ILR TL+NI'!T9</f>
        <v>0.67971441304714408</v>
      </c>
      <c r="O117" s="184">
        <f>'ROLL+VL ILR TL+NI'!U9</f>
        <v>0.95507148358977256</v>
      </c>
      <c r="P117" s="184">
        <f>'ROLL+VL ILR TL+NI'!V9</f>
        <v>0.94938962030887941</v>
      </c>
      <c r="Q117" s="184">
        <f>'ROLL+VL ILR TL+NI'!W9</f>
        <v>1.1275941366515709</v>
      </c>
      <c r="S117" s="201" t="str">
        <f>'ROLL+VL PVE TL+NI '!S9</f>
        <v>juil</v>
      </c>
      <c r="T117" s="184">
        <f>'ROLL+VL PVE TL+NI '!T9</f>
        <v>0</v>
      </c>
      <c r="U117" s="184">
        <f>'ROLL+VL PVE TL+NI '!U9</f>
        <v>0</v>
      </c>
      <c r="V117" s="184">
        <f>'ROLL+VL PVE TL+NI '!V9</f>
        <v>108.68980832164564</v>
      </c>
      <c r="W117" s="184">
        <f>'ROLL+VL PVE TL+NI '!W9</f>
        <v>16.514761598398739</v>
      </c>
    </row>
    <row r="118" spans="1:23" x14ac:dyDescent="0.25">
      <c r="A118" s="201" t="str">
        <f>'ROLL+VL AJA TL+NI '!S10</f>
        <v>aou</v>
      </c>
      <c r="B118" s="184">
        <f>'ROLL+VL AJA TL+NI '!T10</f>
        <v>2.0192163514703956</v>
      </c>
      <c r="C118" s="184">
        <f>'ROLL+VL AJA TL+NI '!U10</f>
        <v>2.0970205561383173</v>
      </c>
      <c r="D118" s="184">
        <f>'ROLL+VL AJA TL+NI '!V10</f>
        <v>1.9942777563666283</v>
      </c>
      <c r="E118" s="184">
        <f>'ROLL+VL AJA TL+NI '!W10</f>
        <v>1.9373324919525237</v>
      </c>
      <c r="G118" s="201" t="str">
        <f>'ROLL+VL BAS TL+NI'!S10</f>
        <v>aou</v>
      </c>
      <c r="H118" s="184">
        <f>'ROLL+VL BAS TL+NI'!T10</f>
        <v>4.822230729964267</v>
      </c>
      <c r="I118" s="184">
        <f>'ROLL+VL BAS TL+NI'!U10</f>
        <v>4.6706224873742794</v>
      </c>
      <c r="J118" s="184">
        <f>'ROLL+VL BAS TL+NI'!V10</f>
        <v>5.3930824910874122</v>
      </c>
      <c r="K118" s="184">
        <f>'ROLL+VL BAS TL+NI'!W10</f>
        <v>4.8614170843200979</v>
      </c>
      <c r="M118" s="201" t="str">
        <f>'ROLL+VL ILR TL+NI'!S10</f>
        <v>aou</v>
      </c>
      <c r="N118" s="184">
        <f>'ROLL+VL ILR TL+NI'!T10</f>
        <v>0.64843465598835104</v>
      </c>
      <c r="O118" s="184">
        <f>'ROLL+VL ILR TL+NI'!U10</f>
        <v>0.63952747726560044</v>
      </c>
      <c r="P118" s="184">
        <f>'ROLL+VL ILR TL+NI'!V10</f>
        <v>0.79903379005404218</v>
      </c>
      <c r="Q118" s="184">
        <f>'ROLL+VL ILR TL+NI'!W10</f>
        <v>1.058818328290172</v>
      </c>
      <c r="S118" s="201" t="str">
        <f>'ROLL+VL PVE TL+NI '!S10</f>
        <v>aou</v>
      </c>
      <c r="T118" s="184">
        <f>'ROLL+VL PVE TL+NI '!T10</f>
        <v>0</v>
      </c>
      <c r="U118" s="184">
        <f>'ROLL+VL PVE TL+NI '!U10</f>
        <v>0</v>
      </c>
      <c r="V118" s="184">
        <f>'ROLL+VL PVE TL+NI '!V10</f>
        <v>12.518565669424996</v>
      </c>
      <c r="W118" s="184">
        <f>'ROLL+VL PVE TL+NI '!W10</f>
        <v>17.090624999999999</v>
      </c>
    </row>
    <row r="119" spans="1:23" x14ac:dyDescent="0.25">
      <c r="A119" s="201" t="str">
        <f>'ROLL+VL AJA TL+NI '!S11</f>
        <v>sep</v>
      </c>
      <c r="B119" s="184">
        <f>'ROLL+VL AJA TL+NI '!T11</f>
        <v>2.3019300759517516</v>
      </c>
      <c r="C119" s="184">
        <f>'ROLL+VL AJA TL+NI '!U11</f>
        <v>2.4032748468131153</v>
      </c>
      <c r="D119" s="184">
        <f>'ROLL+VL AJA TL+NI '!V11</f>
        <v>2.5353464084367823</v>
      </c>
      <c r="E119" s="184">
        <f>'ROLL+VL AJA TL+NI '!W11</f>
        <v>2.7637764582934299</v>
      </c>
      <c r="G119" s="201" t="str">
        <f>'ROLL+VL BAS TL+NI'!S11</f>
        <v>sep</v>
      </c>
      <c r="H119" s="184">
        <f>'ROLL+VL BAS TL+NI'!T11</f>
        <v>5.3279982321558235</v>
      </c>
      <c r="I119" s="184">
        <f>'ROLL+VL BAS TL+NI'!U11</f>
        <v>5.7163754738750621</v>
      </c>
      <c r="J119" s="184">
        <f>'ROLL+VL BAS TL+NI'!V11</f>
        <v>5.3782365345891012</v>
      </c>
      <c r="K119" s="184">
        <f>'ROLL+VL BAS TL+NI'!W11</f>
        <v>3.4172501129794881</v>
      </c>
      <c r="M119" s="201" t="str">
        <f>'ROLL+VL ILR TL+NI'!S11</f>
        <v>sep</v>
      </c>
      <c r="N119" s="184">
        <f>'ROLL+VL ILR TL+NI'!T11</f>
        <v>2.0813115208651047</v>
      </c>
      <c r="O119" s="184">
        <f>'ROLL+VL ILR TL+NI'!U11</f>
        <v>2.4122497055359244</v>
      </c>
      <c r="P119" s="184">
        <f>'ROLL+VL ILR TL+NI'!V11</f>
        <v>1.3640070254673191</v>
      </c>
      <c r="Q119" s="184">
        <f>'ROLL+VL ILR TL+NI'!W11</f>
        <v>1.6517604516031084</v>
      </c>
      <c r="S119" s="201" t="str">
        <f>'ROLL+VL PVE TL+NI '!S11</f>
        <v>sep</v>
      </c>
      <c r="T119" s="184">
        <f>'ROLL+VL PVE TL+NI '!T11</f>
        <v>0</v>
      </c>
      <c r="U119" s="184">
        <f>'ROLL+VL PVE TL+NI '!U11</f>
        <v>0</v>
      </c>
      <c r="V119" s="184">
        <f>'ROLL+VL PVE TL+NI '!V11</f>
        <v>17.135904055071528</v>
      </c>
      <c r="W119" s="184">
        <f>'ROLL+VL PVE TL+NI '!W11</f>
        <v>13.847494068801899</v>
      </c>
    </row>
    <row r="120" spans="1:23" x14ac:dyDescent="0.25">
      <c r="A120" s="201" t="str">
        <f>'ROLL+VL AJA TL+NI '!S12</f>
        <v>oct</v>
      </c>
      <c r="B120" s="184">
        <f>'ROLL+VL AJA TL+NI '!T12</f>
        <v>2.3686942569958949</v>
      </c>
      <c r="C120" s="184">
        <f>'ROLL+VL AJA TL+NI '!U12</f>
        <v>2.2320488127840141</v>
      </c>
      <c r="D120" s="184">
        <f>'ROLL+VL AJA TL+NI '!V12</f>
        <v>2.1062611649632474</v>
      </c>
      <c r="E120" s="184">
        <f>'ROLL+VL AJA TL+NI '!W12</f>
        <v>2.1342072634911466</v>
      </c>
      <c r="G120" s="201" t="str">
        <f>'ROLL+VL BAS TL+NI'!S12</f>
        <v>oct</v>
      </c>
      <c r="H120" s="184">
        <f>'ROLL+VL BAS TL+NI'!T12</f>
        <v>3.5061558055614519</v>
      </c>
      <c r="I120" s="184">
        <f>'ROLL+VL BAS TL+NI'!U12</f>
        <v>2.8979063241959855</v>
      </c>
      <c r="J120" s="184">
        <f>'ROLL+VL BAS TL+NI'!V12</f>
        <v>3.4192067890543818</v>
      </c>
      <c r="K120" s="184">
        <f>'ROLL+VL BAS TL+NI'!W12</f>
        <v>2.4104002541992173</v>
      </c>
      <c r="M120" s="201" t="str">
        <f>'ROLL+VL ILR TL+NI'!S12</f>
        <v>oct</v>
      </c>
      <c r="N120" s="184">
        <f>'ROLL+VL ILR TL+NI'!T12</f>
        <v>2.0840428119678909</v>
      </c>
      <c r="O120" s="184">
        <f>'ROLL+VL ILR TL+NI'!U12</f>
        <v>10.636016451233841</v>
      </c>
      <c r="P120" s="184">
        <f>'ROLL+VL ILR TL+NI'!V12</f>
        <v>3.0225816295392129</v>
      </c>
      <c r="Q120" s="184">
        <f>'ROLL+VL ILR TL+NI'!W12</f>
        <v>2.0213963963963963</v>
      </c>
      <c r="S120" s="201" t="str">
        <f>'ROLL+VL PVE TL+NI '!S12</f>
        <v>oct</v>
      </c>
      <c r="T120" s="184">
        <f>'ROLL+VL PVE TL+NI '!T12</f>
        <v>0</v>
      </c>
      <c r="U120" s="184">
        <f>'ROLL+VL PVE TL+NI '!U12</f>
        <v>0</v>
      </c>
      <c r="V120" s="184">
        <f>'ROLL+VL PVE TL+NI '!V12</f>
        <v>1.4504392581418051</v>
      </c>
      <c r="W120" s="184">
        <f>'ROLL+VL PVE TL+NI '!W12</f>
        <v>15.390369331463303</v>
      </c>
    </row>
    <row r="121" spans="1:23" x14ac:dyDescent="0.25">
      <c r="A121" s="201" t="str">
        <f>'ROLL+VL AJA TL+NI '!S13</f>
        <v>nov</v>
      </c>
      <c r="B121" s="184">
        <f>'ROLL+VL AJA TL+NI '!T13</f>
        <v>2.5052767001025189</v>
      </c>
      <c r="C121" s="184">
        <f>'ROLL+VL AJA TL+NI '!U13</f>
        <v>2.568924245238243</v>
      </c>
      <c r="D121" s="184">
        <f>'ROLL+VL AJA TL+NI '!V13</f>
        <v>2.5762377856079044</v>
      </c>
      <c r="E121" s="184">
        <f>'ROLL+VL AJA TL+NI '!W13</f>
        <v>0</v>
      </c>
      <c r="G121" s="201" t="str">
        <f>'ROLL+VL BAS TL+NI'!S13</f>
        <v>nov</v>
      </c>
      <c r="H121" s="184">
        <f>'ROLL+VL BAS TL+NI'!T13</f>
        <v>2.8137393668455788</v>
      </c>
      <c r="I121" s="184">
        <f>'ROLL+VL BAS TL+NI'!U13</f>
        <v>2.8123362475523317</v>
      </c>
      <c r="J121" s="184">
        <f>'ROLL+VL BAS TL+NI'!V13</f>
        <v>3.2420304258084243</v>
      </c>
      <c r="K121" s="184">
        <f>'ROLL+VL BAS TL+NI'!W13</f>
        <v>0</v>
      </c>
      <c r="M121" s="201" t="str">
        <f>'ROLL+VL ILR TL+NI'!S13</f>
        <v>nov</v>
      </c>
      <c r="N121" s="184">
        <f>'ROLL+VL ILR TL+NI'!T13</f>
        <v>0.67188983855650519</v>
      </c>
      <c r="O121" s="184">
        <f>'ROLL+VL ILR TL+NI'!U13</f>
        <v>0</v>
      </c>
      <c r="P121" s="184">
        <f>'ROLL+VL ILR TL+NI'!V13</f>
        <v>0</v>
      </c>
      <c r="Q121" s="184">
        <f>'ROLL+VL ILR TL+NI'!W13</f>
        <v>0</v>
      </c>
      <c r="S121" s="201" t="str">
        <f>'ROLL+VL PVE TL+NI '!S13</f>
        <v>nov</v>
      </c>
      <c r="T121" s="184">
        <f>'ROLL+VL PVE TL+NI '!T13</f>
        <v>0</v>
      </c>
      <c r="U121" s="184">
        <f>'ROLL+VL PVE TL+NI '!U13</f>
        <v>0</v>
      </c>
      <c r="V121" s="184">
        <f>'ROLL+VL PVE TL+NI '!V13</f>
        <v>17.496742671009773</v>
      </c>
      <c r="W121" s="184"/>
    </row>
    <row r="122" spans="1:23" x14ac:dyDescent="0.25">
      <c r="A122" s="201" t="str">
        <f>'ROLL+VL AJA TL+NI '!S14</f>
        <v>déc</v>
      </c>
      <c r="B122" s="184">
        <f>'ROLL+VL AJA TL+NI '!T14</f>
        <v>2.1932290061109394</v>
      </c>
      <c r="C122" s="184">
        <f>'ROLL+VL AJA TL+NI '!U14</f>
        <v>2.1088942834504962</v>
      </c>
      <c r="D122" s="184">
        <f>'ROLL+VL AJA TL+NI '!V14</f>
        <v>1.9296683090802005</v>
      </c>
      <c r="E122" s="184">
        <f>'ROLL+VL AJA TL+NI '!W14</f>
        <v>0</v>
      </c>
      <c r="G122" s="201" t="str">
        <f>'ROLL+VL BAS TL+NI'!S14</f>
        <v>déc</v>
      </c>
      <c r="H122" s="184">
        <f>'ROLL+VL BAS TL+NI'!T14</f>
        <v>2.9918540141523131</v>
      </c>
      <c r="I122" s="184">
        <f>'ROLL+VL BAS TL+NI'!U14</f>
        <v>2.9946696253995846</v>
      </c>
      <c r="J122" s="184">
        <f>'ROLL+VL BAS TL+NI'!V14</f>
        <v>3.1516908604330549</v>
      </c>
      <c r="K122" s="184">
        <f>'ROLL+VL BAS TL+NI'!W14</f>
        <v>0</v>
      </c>
      <c r="M122" s="201" t="str">
        <f>'ROLL+VL ILR TL+NI'!S14</f>
        <v>déc</v>
      </c>
      <c r="N122" s="184">
        <f>'ROLL+VL ILR TL+NI'!T14</f>
        <v>0.74194785276073616</v>
      </c>
      <c r="O122" s="184">
        <f>'ROLL+VL ILR TL+NI'!U14</f>
        <v>0</v>
      </c>
      <c r="P122" s="184">
        <f>'ROLL+VL ILR TL+NI'!V14</f>
        <v>4.3180224403927072</v>
      </c>
      <c r="Q122" s="184">
        <f>'ROLL+VL ILR TL+NI'!W14</f>
        <v>0</v>
      </c>
      <c r="S122" s="201" t="str">
        <f>'ROLL+VL PVE TL+NI '!S14</f>
        <v>déc</v>
      </c>
      <c r="T122" s="184">
        <f>'ROLL+VL PVE TL+NI '!T14</f>
        <v>0</v>
      </c>
      <c r="U122" s="184">
        <f>'ROLL+VL PVE TL+NI '!U14</f>
        <v>0</v>
      </c>
      <c r="V122" s="184">
        <f>'ROLL+VL PVE TL+NI '!V14</f>
        <v>2.6093331633303585</v>
      </c>
      <c r="W122" s="184"/>
    </row>
    <row r="123" spans="1:23" x14ac:dyDescent="0.25">
      <c r="A123" s="201" t="str">
        <f>'ROLL+VL AJA TL+NI '!S15</f>
        <v>MOYENNE</v>
      </c>
      <c r="B123" s="184">
        <f>'ROLL+VL AJA TL+NI '!T15</f>
        <v>2.2734431932429735</v>
      </c>
      <c r="C123" s="184">
        <f>'ROLL+VL AJA TL+NI '!U15</f>
        <v>2.3201189662505306</v>
      </c>
      <c r="D123" s="184">
        <f>'ROLL+VL AJA TL+NI '!V15</f>
        <v>2.3529592322662189</v>
      </c>
      <c r="E123" s="184">
        <f>'ROLL+VL AJA TL+NI '!W15</f>
        <v>2.6391357448470396</v>
      </c>
      <c r="G123" s="201" t="str">
        <f>'ROLL+VL BAS TL+NI'!S15</f>
        <v>MOYENNE</v>
      </c>
      <c r="H123" s="184">
        <f>'ROLL+VL BAS TL+NI'!T15</f>
        <v>4.1689156976526816</v>
      </c>
      <c r="I123" s="184">
        <f>'ROLL+VL BAS TL+NI'!U15</f>
        <v>4.2035581813489289</v>
      </c>
      <c r="J123" s="184">
        <f>'ROLL+VL BAS TL+NI'!V15</f>
        <v>4.2845171809230154</v>
      </c>
      <c r="K123" s="184">
        <f>'ROLL+VL BAS TL+NI'!W15</f>
        <v>4.3278764657344224</v>
      </c>
      <c r="M123" s="201" t="str">
        <f>'ROLL+VL ILR TL+NI'!S15</f>
        <v>MOYENNE</v>
      </c>
      <c r="N123" s="184">
        <f>'ROLL+VL ILR TL+NI'!T15</f>
        <v>1.5117061089595318</v>
      </c>
      <c r="O123" s="184">
        <f>'ROLL+VL ILR TL+NI'!U15</f>
        <v>2.6125226844101759</v>
      </c>
      <c r="P123" s="184">
        <f>'ROLL+VL ILR TL+NI'!V15</f>
        <v>2.0985407255331592</v>
      </c>
      <c r="Q123" s="184">
        <f>'ROLL+VL ILR TL+NI'!W15</f>
        <v>3.3688326141269074</v>
      </c>
      <c r="S123" s="204" t="str">
        <f>'ROLL+VL PVE TL+NI '!S15</f>
        <v>MOYENNE</v>
      </c>
      <c r="T123" s="213">
        <f>'ROLL+VL PVE TL+NI '!T15</f>
        <v>5.7783742331288339</v>
      </c>
      <c r="U123" s="213">
        <f>'ROLL+VL PVE TL+NI '!U15</f>
        <v>0</v>
      </c>
      <c r="V123" s="213">
        <f>'ROLL+VL PVE TL+NI '!V15</f>
        <v>24.513263840786749</v>
      </c>
      <c r="W123" s="214">
        <f>'ROLL+VL PVE TL+NI '!W15</f>
        <v>20.416115183506843</v>
      </c>
    </row>
    <row r="125" spans="1:23" x14ac:dyDescent="0.25">
      <c r="A125" s="204" t="str">
        <f>'ROLL+VL AJA TL+NI '!AK1</f>
        <v>TAUX DE REMPLISSAGE VL AJACCIO (TOULON + MARSEILLE+NICE)/(TOULON+NICE)</v>
      </c>
      <c r="B125" s="194"/>
      <c r="C125" s="194"/>
      <c r="D125" s="194"/>
      <c r="E125" s="195"/>
      <c r="G125" s="204" t="str">
        <f>'ROLL+VL BAS TL+NI'!AK1</f>
        <v>TAUX DE REMPLISSAGE VL BASTIA (TOULON + MARSEILLE+NICE)/(TOULON+NICE)</v>
      </c>
      <c r="H125" s="194"/>
      <c r="I125" s="194"/>
      <c r="J125" s="194"/>
      <c r="K125" s="195"/>
      <c r="M125" s="204" t="str">
        <f>'ROLL+VL ILR TL+NI'!AK1</f>
        <v>TAUX DE REMPLISSAGE VL ILE ROUSSE (TOULON + MARSEILLE+NICE)/(TOULON+NICE)</v>
      </c>
      <c r="S125" s="204" t="str">
        <f>'ROLL+VL PVE TL+NI '!AK1</f>
        <v>TAUX DE REMPLISSAGE VL PORTO VECCHIO (TOULON + MARSEILLE+NICE)/(TOULON+NICE)</v>
      </c>
      <c r="T125" s="117"/>
      <c r="U125" s="117"/>
      <c r="V125" s="117"/>
      <c r="W125" s="117"/>
    </row>
    <row r="126" spans="1:23" x14ac:dyDescent="0.25">
      <c r="A126" s="202"/>
      <c r="B126" s="203">
        <f>'ROLL+VL AJA TL+NI '!AL2</f>
        <v>2014</v>
      </c>
      <c r="C126" s="203">
        <f>'ROLL+VL AJA TL+NI '!AM2</f>
        <v>2015</v>
      </c>
      <c r="D126" s="203">
        <f>'ROLL+VL AJA TL+NI '!AN2</f>
        <v>2016</v>
      </c>
      <c r="E126" s="203">
        <f>'ROLL+VL AJA TL+NI '!AO2</f>
        <v>2017</v>
      </c>
      <c r="G126" s="202"/>
      <c r="H126" s="203">
        <f>'ROLL+VL BAS TL+NI'!AL2</f>
        <v>2014</v>
      </c>
      <c r="I126" s="203">
        <f>'ROLL+VL BAS TL+NI'!AM2</f>
        <v>2015</v>
      </c>
      <c r="J126" s="203">
        <f>'ROLL+VL BAS TL+NI'!AN2</f>
        <v>2016</v>
      </c>
      <c r="K126" s="203">
        <f>'ROLL+VL BAS TL+NI'!AO2</f>
        <v>2017</v>
      </c>
      <c r="M126" s="202"/>
      <c r="N126" s="203">
        <f>'ROLL+VL ILR TL+NI'!AL2</f>
        <v>2014</v>
      </c>
      <c r="O126" s="203">
        <f>'ROLL+VL ILR TL+NI'!AM2</f>
        <v>2015</v>
      </c>
      <c r="P126" s="203">
        <f>'ROLL+VL ILR TL+NI'!AN2</f>
        <v>2016</v>
      </c>
      <c r="Q126" s="203">
        <f>'ROLL+VL ILR TL+NI'!AO2</f>
        <v>2017</v>
      </c>
      <c r="S126" s="202"/>
      <c r="T126" s="203">
        <f>'ROLL+VL PVE TL+NI '!AL2</f>
        <v>2014</v>
      </c>
      <c r="U126" s="203">
        <f>'ROLL+VL PVE TL+NI '!AM2</f>
        <v>2015</v>
      </c>
      <c r="V126" s="203">
        <f>'ROLL+VL PVE TL+NI '!AN2</f>
        <v>2016</v>
      </c>
      <c r="W126" s="203">
        <f>'ROLL+VL PVE TL+NI '!AO2</f>
        <v>2017</v>
      </c>
    </row>
    <row r="127" spans="1:23" x14ac:dyDescent="0.25">
      <c r="A127" s="201" t="str">
        <f>'ROLL+VL AJA TL+NI '!AK3</f>
        <v>jan</v>
      </c>
      <c r="B127" s="184">
        <f>'ROLL+VL AJA TL+NI '!AL3</f>
        <v>0.7130354675264855</v>
      </c>
      <c r="C127" s="184">
        <f>'ROLL+VL AJA TL+NI '!AM3</f>
        <v>1.1388283915470554</v>
      </c>
      <c r="D127" s="184">
        <f>'ROLL+VL AJA TL+NI '!AN3</f>
        <v>0.7528540651552369</v>
      </c>
      <c r="E127" s="184">
        <f>'ROLL+VL AJA TL+NI '!AO3</f>
        <v>0.74807654710015759</v>
      </c>
      <c r="G127" s="201" t="str">
        <f>'ROLL+VL BAS TL+NI'!AK3</f>
        <v>jan</v>
      </c>
      <c r="H127" s="184">
        <f>'ROLL+VL BAS TL+NI'!AL3</f>
        <v>0.86286706481711162</v>
      </c>
      <c r="I127" s="184">
        <f>'ROLL+VL BAS TL+NI'!AM3</f>
        <v>0.88007914960195111</v>
      </c>
      <c r="J127" s="184">
        <f>'ROLL+VL BAS TL+NI'!AN3</f>
        <v>0.70718131502654402</v>
      </c>
      <c r="K127" s="184">
        <f>'ROLL+VL BAS TL+NI'!AO3</f>
        <v>0.78836907154675573</v>
      </c>
      <c r="M127" s="201" t="str">
        <f>'ROLL+VL ILR TL+NI'!AK3</f>
        <v>jan</v>
      </c>
      <c r="N127" s="184">
        <f>'ROLL+VL ILR TL+NI'!AL3</f>
        <v>0.48425196850393698</v>
      </c>
      <c r="O127" s="184">
        <f>'ROLL+VL ILR TL+NI'!AM3</f>
        <v>0.51165341376473816</v>
      </c>
      <c r="P127" s="184">
        <f>'ROLL+VL ILR TL+NI'!AN3</f>
        <v>0.127599486521181</v>
      </c>
      <c r="Q127" s="184">
        <f>'ROLL+VL ILR TL+NI'!AO3</f>
        <v>0.55551709815865991</v>
      </c>
      <c r="S127" s="201" t="str">
        <f>'ROLL+VL PVE TL+NI '!AK3</f>
        <v>jan</v>
      </c>
      <c r="T127" s="184">
        <f>'ROLL+VL PVE TL+NI '!AL3</f>
        <v>0</v>
      </c>
      <c r="U127" s="184">
        <f>'ROLL+VL PVE TL+NI '!AM3</f>
        <v>0</v>
      </c>
      <c r="V127" s="184">
        <f>'ROLL+VL PVE TL+NI '!AN3</f>
        <v>6.565804935370152</v>
      </c>
      <c r="W127" s="184">
        <f>'ROLL+VL PVE TL+NI '!AO3</f>
        <v>17.917156286721504</v>
      </c>
    </row>
    <row r="128" spans="1:23" x14ac:dyDescent="0.25">
      <c r="A128" s="201" t="str">
        <f>'ROLL+VL AJA TL+NI '!AK4</f>
        <v>fév</v>
      </c>
      <c r="B128" s="184">
        <f>'ROLL+VL AJA TL+NI '!AL4</f>
        <v>0.74301464235749204</v>
      </c>
      <c r="C128" s="184">
        <f>'ROLL+VL AJA TL+NI '!AM4</f>
        <v>1.0960394542277185</v>
      </c>
      <c r="D128" s="184">
        <f>'ROLL+VL AJA TL+NI '!AN4</f>
        <v>0.95863870497925596</v>
      </c>
      <c r="E128" s="184">
        <f>'ROLL+VL AJA TL+NI '!AO4</f>
        <v>1.0674060014962179</v>
      </c>
      <c r="G128" s="201" t="str">
        <f>'ROLL+VL BAS TL+NI'!AK4</f>
        <v>fév</v>
      </c>
      <c r="H128" s="184">
        <f>'ROLL+VL BAS TL+NI'!AL4</f>
        <v>0.78013154071687052</v>
      </c>
      <c r="I128" s="184">
        <f>'ROLL+VL BAS TL+NI'!AM4</f>
        <v>0.8251080756710325</v>
      </c>
      <c r="J128" s="184">
        <f>'ROLL+VL BAS TL+NI'!AN4</f>
        <v>0.88503694233986951</v>
      </c>
      <c r="K128" s="184">
        <f>'ROLL+VL BAS TL+NI'!AO4</f>
        <v>0.8991511487615016</v>
      </c>
      <c r="M128" s="201" t="str">
        <f>'ROLL+VL ILR TL+NI'!AK4</f>
        <v>fév</v>
      </c>
      <c r="N128" s="184">
        <f>'ROLL+VL ILR TL+NI'!AL4</f>
        <v>0.32581885691552842</v>
      </c>
      <c r="O128" s="184">
        <f>'ROLL+VL ILR TL+NI'!AM4</f>
        <v>0.37790416263310744</v>
      </c>
      <c r="P128" s="184">
        <f>'ROLL+VL ILR TL+NI'!AN4</f>
        <v>0.71733333333333338</v>
      </c>
      <c r="Q128" s="184">
        <f>'ROLL+VL ILR TL+NI'!AO4</f>
        <v>0.70409097847656843</v>
      </c>
      <c r="S128" s="201" t="str">
        <f>'ROLL+VL PVE TL+NI '!AK4</f>
        <v>fév</v>
      </c>
      <c r="T128" s="184">
        <f>'ROLL+VL PVE TL+NI '!AL4</f>
        <v>1.6965033102503615</v>
      </c>
      <c r="U128" s="184">
        <f>'ROLL+VL PVE TL+NI '!AM4</f>
        <v>0</v>
      </c>
      <c r="V128" s="184">
        <f>'ROLL+VL PVE TL+NI '!AN4</f>
        <v>0</v>
      </c>
      <c r="W128" s="184">
        <f>'ROLL+VL PVE TL+NI '!AO4</f>
        <v>0</v>
      </c>
    </row>
    <row r="129" spans="1:24" x14ac:dyDescent="0.25">
      <c r="A129" s="201" t="str">
        <f>'ROLL+VL AJA TL+NI '!AK5</f>
        <v>mar</v>
      </c>
      <c r="B129" s="184">
        <f>'ROLL+VL AJA TL+NI '!AL5</f>
        <v>0.87134327477326823</v>
      </c>
      <c r="C129" s="184">
        <f>'ROLL+VL AJA TL+NI '!AM5</f>
        <v>1.4025441043224902</v>
      </c>
      <c r="D129" s="184">
        <f>'ROLL+VL AJA TL+NI '!AN5</f>
        <v>0.96686900777216767</v>
      </c>
      <c r="E129" s="184">
        <f>'ROLL+VL AJA TL+NI '!AO5</f>
        <v>2.2399662072704807</v>
      </c>
      <c r="G129" s="201" t="str">
        <f>'ROLL+VL BAS TL+NI'!AK5</f>
        <v>mar</v>
      </c>
      <c r="H129" s="184">
        <f>'ROLL+VL BAS TL+NI'!AL5</f>
        <v>0.91021747300632827</v>
      </c>
      <c r="I129" s="184">
        <f>'ROLL+VL BAS TL+NI'!AM5</f>
        <v>0.89005235602094235</v>
      </c>
      <c r="J129" s="184">
        <f>'ROLL+VL BAS TL+NI'!AN5</f>
        <v>0.84467593031411725</v>
      </c>
      <c r="K129" s="184">
        <f>'ROLL+VL BAS TL+NI'!AO5</f>
        <v>0.83401663153352035</v>
      </c>
      <c r="M129" s="201" t="str">
        <f>'ROLL+VL ILR TL+NI'!AK5</f>
        <v>mar</v>
      </c>
      <c r="N129" s="184">
        <f>'ROLL+VL ILR TL+NI'!AL5</f>
        <v>1.4068241469816274</v>
      </c>
      <c r="O129" s="184">
        <f>'ROLL+VL ILR TL+NI'!AM5</f>
        <v>0.68558282208588961</v>
      </c>
      <c r="P129" s="184">
        <f>'ROLL+VL ILR TL+NI'!AN5</f>
        <v>0.4571045576407507</v>
      </c>
      <c r="Q129" s="184">
        <f>'ROLL+VL ILR TL+NI'!AO5</f>
        <v>1.4414374445430347</v>
      </c>
      <c r="S129" s="201" t="str">
        <f>'ROLL+VL PVE TL+NI '!AK5</f>
        <v>mar</v>
      </c>
      <c r="T129" s="184">
        <f>'ROLL+VL PVE TL+NI '!AL5</f>
        <v>0</v>
      </c>
      <c r="U129" s="184">
        <f>'ROLL+VL PVE TL+NI '!AM5</f>
        <v>0</v>
      </c>
      <c r="V129" s="184">
        <f>'ROLL+VL PVE TL+NI '!AN5</f>
        <v>0</v>
      </c>
      <c r="W129" s="184">
        <f>'ROLL+VL PVE TL+NI '!AO5</f>
        <v>0</v>
      </c>
    </row>
    <row r="130" spans="1:24" x14ac:dyDescent="0.25">
      <c r="A130" s="201" t="str">
        <f>'ROLL+VL AJA TL+NI '!AK6</f>
        <v>avr</v>
      </c>
      <c r="B130" s="184">
        <f>'ROLL+VL AJA TL+NI '!AL6</f>
        <v>1.3092510815718097</v>
      </c>
      <c r="C130" s="184">
        <f>'ROLL+VL AJA TL+NI '!AM6</f>
        <v>1.5015359410198648</v>
      </c>
      <c r="D130" s="184">
        <f>'ROLL+VL AJA TL+NI '!AN6</f>
        <v>1.3475674702590799</v>
      </c>
      <c r="E130" s="184">
        <f>'ROLL+VL AJA TL+NI '!AO6</f>
        <v>1.8677874341074228</v>
      </c>
      <c r="G130" s="201" t="str">
        <f>'ROLL+VL BAS TL+NI'!AK6</f>
        <v>avr</v>
      </c>
      <c r="H130" s="184">
        <f>'ROLL+VL BAS TL+NI'!AL6</f>
        <v>1.083659552446852</v>
      </c>
      <c r="I130" s="184">
        <f>'ROLL+VL BAS TL+NI'!AM6</f>
        <v>0.96382149046793764</v>
      </c>
      <c r="J130" s="184">
        <f>'ROLL+VL BAS TL+NI'!AN6</f>
        <v>0.89771323835969896</v>
      </c>
      <c r="K130" s="184">
        <f>'ROLL+VL BAS TL+NI'!AO6</f>
        <v>1.1390234130638006</v>
      </c>
      <c r="M130" s="201" t="str">
        <f>'ROLL+VL ILR TL+NI'!AK6</f>
        <v>avr</v>
      </c>
      <c r="N130" s="184">
        <f>'ROLL+VL ILR TL+NI'!AL6</f>
        <v>1.0543979082633164</v>
      </c>
      <c r="O130" s="184">
        <f>'ROLL+VL ILR TL+NI'!AM6</f>
        <v>1.2445175438596492</v>
      </c>
      <c r="P130" s="184">
        <f>'ROLL+VL ILR TL+NI'!AN6</f>
        <v>2.1885888501742161</v>
      </c>
      <c r="Q130" s="184">
        <f>'ROLL+VL ILR TL+NI'!AO6</f>
        <v>1.5605627298079825</v>
      </c>
      <c r="S130" s="201" t="str">
        <f>'ROLL+VL PVE TL+NI '!AK6</f>
        <v>avr</v>
      </c>
      <c r="T130" s="184">
        <f>'ROLL+VL PVE TL+NI '!AL6</f>
        <v>0</v>
      </c>
      <c r="U130" s="184">
        <f>'ROLL+VL PVE TL+NI '!AM6</f>
        <v>0</v>
      </c>
      <c r="V130" s="184">
        <f>'ROLL+VL PVE TL+NI '!AN6</f>
        <v>0</v>
      </c>
      <c r="W130" s="184">
        <f>'ROLL+VL PVE TL+NI '!AO6</f>
        <v>1.7612471679792863</v>
      </c>
      <c r="X130" s="117"/>
    </row>
    <row r="131" spans="1:24" x14ac:dyDescent="0.25">
      <c r="A131" s="201" t="str">
        <f>'ROLL+VL AJA TL+NI '!AK7</f>
        <v>mai</v>
      </c>
      <c r="B131" s="184">
        <f>'ROLL+VL AJA TL+NI '!AL7</f>
        <v>2.5085339453345354</v>
      </c>
      <c r="C131" s="184">
        <f>'ROLL+VL AJA TL+NI '!AM7</f>
        <v>2.3374648278048586</v>
      </c>
      <c r="D131" s="184">
        <f>'ROLL+VL AJA TL+NI '!AN7</f>
        <v>2.7345610844051795</v>
      </c>
      <c r="E131" s="184">
        <f>'ROLL+VL AJA TL+NI '!AO7</f>
        <v>2.690681001444621</v>
      </c>
      <c r="G131" s="201" t="str">
        <f>'ROLL+VL BAS TL+NI'!AK7</f>
        <v>mai</v>
      </c>
      <c r="H131" s="184">
        <f>'ROLL+VL BAS TL+NI'!AL7</f>
        <v>1.4780905987317847</v>
      </c>
      <c r="I131" s="184">
        <f>'ROLL+VL BAS TL+NI'!AM7</f>
        <v>1.370189042885507</v>
      </c>
      <c r="J131" s="184">
        <f>'ROLL+VL BAS TL+NI'!AN7</f>
        <v>1.3976246530095928</v>
      </c>
      <c r="K131" s="184">
        <f>'ROLL+VL BAS TL+NI'!AO7</f>
        <v>1.3303329407631583</v>
      </c>
      <c r="M131" s="201" t="str">
        <f>'ROLL+VL ILR TL+NI'!AK7</f>
        <v>mai</v>
      </c>
      <c r="N131" s="184">
        <f>'ROLL+VL ILR TL+NI'!AL7</f>
        <v>1.6648973446292401</v>
      </c>
      <c r="O131" s="184">
        <f>'ROLL+VL ILR TL+NI'!AM7</f>
        <v>2.246476043046604</v>
      </c>
      <c r="P131" s="184">
        <f>'ROLL+VL ILR TL+NI'!AN7</f>
        <v>6.1772006874164589</v>
      </c>
      <c r="Q131" s="184">
        <f>'ROLL+VL ILR TL+NI'!AO7</f>
        <v>1.9235550340108991</v>
      </c>
      <c r="S131" s="201" t="str">
        <f>'ROLL+VL PVE TL+NI '!AK7</f>
        <v>mai</v>
      </c>
      <c r="T131" s="184">
        <f>'ROLL+VL PVE TL+NI '!AL7</f>
        <v>0</v>
      </c>
      <c r="U131" s="184">
        <f>'ROLL+VL PVE TL+NI '!AM7</f>
        <v>0</v>
      </c>
      <c r="V131" s="184">
        <f>'ROLL+VL PVE TL+NI '!AN7</f>
        <v>0</v>
      </c>
      <c r="W131" s="184">
        <f>'ROLL+VL PVE TL+NI '!AO7</f>
        <v>2.6418800388175581</v>
      </c>
      <c r="X131" s="117"/>
    </row>
    <row r="132" spans="1:24" x14ac:dyDescent="0.25">
      <c r="A132" s="201" t="str">
        <f>'ROLL+VL AJA TL+NI '!AK8</f>
        <v>juin</v>
      </c>
      <c r="B132" s="184">
        <f>'ROLL+VL AJA TL+NI '!AL8</f>
        <v>2.2559425666391868</v>
      </c>
      <c r="C132" s="184">
        <f>'ROLL+VL AJA TL+NI '!AM8</f>
        <v>1.9955729678358471</v>
      </c>
      <c r="D132" s="184">
        <f>'ROLL+VL AJA TL+NI '!AN8</f>
        <v>2.1209919055498414</v>
      </c>
      <c r="E132" s="184">
        <f>'ROLL+VL AJA TL+NI '!AO8</f>
        <v>3.0336346350955896</v>
      </c>
      <c r="G132" s="201" t="str">
        <f>'ROLL+VL BAS TL+NI'!AK8</f>
        <v>juin</v>
      </c>
      <c r="H132" s="184">
        <f>'ROLL+VL BAS TL+NI'!AL8</f>
        <v>1.4083244975465861</v>
      </c>
      <c r="I132" s="184">
        <f>'ROLL+VL BAS TL+NI'!AM8</f>
        <v>1.1330078035048936</v>
      </c>
      <c r="J132" s="184">
        <f>'ROLL+VL BAS TL+NI'!AN8</f>
        <v>0.90554798408004822</v>
      </c>
      <c r="K132" s="184">
        <f>'ROLL+VL BAS TL+NI'!AO8</f>
        <v>1.2395130292507155</v>
      </c>
      <c r="M132" s="201" t="str">
        <f>'ROLL+VL ILR TL+NI'!AK8</f>
        <v>juin</v>
      </c>
      <c r="N132" s="184">
        <f>'ROLL+VL ILR TL+NI'!AL8</f>
        <v>0.89208199356913187</v>
      </c>
      <c r="O132" s="184">
        <f>'ROLL+VL ILR TL+NI'!AM8</f>
        <v>1.1214541862612466</v>
      </c>
      <c r="P132" s="184">
        <f>'ROLL+VL ILR TL+NI'!AN8</f>
        <v>2.2899991097370487</v>
      </c>
      <c r="Q132" s="184">
        <f>'ROLL+VL ILR TL+NI'!AO8</f>
        <v>1.4050757559110487</v>
      </c>
      <c r="S132" s="201" t="str">
        <f>'ROLL+VL PVE TL+NI '!AK8</f>
        <v>juin</v>
      </c>
      <c r="T132" s="184">
        <f>'ROLL+VL PVE TL+NI '!AL8</f>
        <v>0</v>
      </c>
      <c r="U132" s="184">
        <f>'ROLL+VL PVE TL+NI '!AM8</f>
        <v>0</v>
      </c>
      <c r="V132" s="184">
        <f>'ROLL+VL PVE TL+NI '!AN8</f>
        <v>3.1954887218045118</v>
      </c>
      <c r="W132" s="184">
        <f>'ROLL+VL PVE TL+NI '!AO8</f>
        <v>4.5443910152972311</v>
      </c>
    </row>
    <row r="133" spans="1:24" x14ac:dyDescent="0.25">
      <c r="A133" s="201" t="str">
        <f>'ROLL+VL AJA TL+NI '!AK9</f>
        <v>juil</v>
      </c>
      <c r="B133" s="184">
        <f>'ROLL+VL AJA TL+NI '!AL9</f>
        <v>2.1243802156957012</v>
      </c>
      <c r="C133" s="184">
        <f>'ROLL+VL AJA TL+NI '!AM9</f>
        <v>2.626396144337209</v>
      </c>
      <c r="D133" s="184">
        <f>'ROLL+VL AJA TL+NI '!AN9</f>
        <v>2.1913634580544281</v>
      </c>
      <c r="E133" s="184">
        <f>'ROLL+VL AJA TL+NI '!AO9</f>
        <v>2.7551938477913684</v>
      </c>
      <c r="G133" s="201" t="str">
        <f>'ROLL+VL BAS TL+NI'!AK9</f>
        <v>juil</v>
      </c>
      <c r="H133" s="184">
        <f>'ROLL+VL BAS TL+NI'!AL9</f>
        <v>1.3599108751110118</v>
      </c>
      <c r="I133" s="184">
        <f>'ROLL+VL BAS TL+NI'!AM9</f>
        <v>1.4285207934581816</v>
      </c>
      <c r="J133" s="184">
        <f>'ROLL+VL BAS TL+NI'!AN9</f>
        <v>0.98708063615958941</v>
      </c>
      <c r="K133" s="184">
        <f>'ROLL+VL BAS TL+NI'!AO9</f>
        <v>1.2793947684977709</v>
      </c>
      <c r="M133" s="201" t="str">
        <f>'ROLL+VL ILR TL+NI'!AK9</f>
        <v>juil</v>
      </c>
      <c r="N133" s="184">
        <f>'ROLL+VL ILR TL+NI'!AL9</f>
        <v>0.8239052786611113</v>
      </c>
      <c r="O133" s="184">
        <f>'ROLL+VL ILR TL+NI'!AM9</f>
        <v>1.0952303139020017</v>
      </c>
      <c r="P133" s="184">
        <f>'ROLL+VL ILR TL+NI'!AN9</f>
        <v>1.6049122000084031</v>
      </c>
      <c r="Q133" s="184">
        <f>'ROLL+VL ILR TL+NI'!AO9</f>
        <v>0.90657975707685179</v>
      </c>
      <c r="S133" s="201" t="str">
        <f>'ROLL+VL PVE TL+NI '!AK9</f>
        <v>juil</v>
      </c>
      <c r="T133" s="184">
        <f>'ROLL+VL PVE TL+NI '!AL9</f>
        <v>0</v>
      </c>
      <c r="U133" s="184">
        <f>'ROLL+VL PVE TL+NI '!AM9</f>
        <v>0</v>
      </c>
      <c r="V133" s="184">
        <f>'ROLL+VL PVE TL+NI '!AN9</f>
        <v>156.4340813464236</v>
      </c>
      <c r="W133" s="184">
        <f>'ROLL+VL PVE TL+NI '!AO9</f>
        <v>3.5141991942824702</v>
      </c>
    </row>
    <row r="134" spans="1:24" x14ac:dyDescent="0.25">
      <c r="A134" s="201" t="str">
        <f>'ROLL+VL AJA TL+NI '!AK10</f>
        <v>aou</v>
      </c>
      <c r="B134" s="184">
        <f>'ROLL+VL AJA TL+NI '!AL10</f>
        <v>2.3112395711535476</v>
      </c>
      <c r="C134" s="184">
        <f>'ROLL+VL AJA TL+NI '!AM10</f>
        <v>2.9209195610927869</v>
      </c>
      <c r="D134" s="184">
        <f>'ROLL+VL AJA TL+NI '!AN10</f>
        <v>3.0482928229944508</v>
      </c>
      <c r="E134" s="184">
        <f>'ROLL+VL AJA TL+NI '!AO10</f>
        <v>1.9731903124679047</v>
      </c>
      <c r="G134" s="201" t="str">
        <f>'ROLL+VL BAS TL+NI'!AK10</f>
        <v>aou</v>
      </c>
      <c r="H134" s="184">
        <f>'ROLL+VL BAS TL+NI'!AL10</f>
        <v>1.7988116012458306</v>
      </c>
      <c r="I134" s="184">
        <f>'ROLL+VL BAS TL+NI'!AM10</f>
        <v>1.8707890963442817</v>
      </c>
      <c r="J134" s="184">
        <f>'ROLL+VL BAS TL+NI'!AN10</f>
        <v>1.3275090984050846</v>
      </c>
      <c r="K134" s="184">
        <f>'ROLL+VL BAS TL+NI'!AO10</f>
        <v>1.7386485282708428</v>
      </c>
      <c r="M134" s="201" t="str">
        <f>'ROLL+VL ILR TL+NI'!AK10</f>
        <v>aou</v>
      </c>
      <c r="N134" s="184">
        <f>'ROLL+VL ILR TL+NI'!AL10</f>
        <v>1.1565881053719576</v>
      </c>
      <c r="O134" s="184">
        <f>'ROLL+VL ILR TL+NI'!AM10</f>
        <v>1.2535246404784648</v>
      </c>
      <c r="P134" s="184">
        <f>'ROLL+VL ILR TL+NI'!AN10</f>
        <v>1.2540280713656351</v>
      </c>
      <c r="Q134" s="184">
        <f>'ROLL+VL ILR TL+NI'!AO10</f>
        <v>0.95341193541258173</v>
      </c>
      <c r="S134" s="201" t="str">
        <f>'ROLL+VL PVE TL+NI '!AK10</f>
        <v>aou</v>
      </c>
      <c r="T134" s="184">
        <f>'ROLL+VL PVE TL+NI '!AL10</f>
        <v>0</v>
      </c>
      <c r="U134" s="184">
        <f>'ROLL+VL PVE TL+NI '!AM10</f>
        <v>0</v>
      </c>
      <c r="V134" s="184">
        <f>'ROLL+VL PVE TL+NI '!AN10</f>
        <v>27.840547422024191</v>
      </c>
      <c r="W134" s="184">
        <f>'ROLL+VL PVE TL+NI '!AO10</f>
        <v>31.543749999999999</v>
      </c>
    </row>
    <row r="135" spans="1:24" x14ac:dyDescent="0.25">
      <c r="A135" s="201" t="str">
        <f>'ROLL+VL AJA TL+NI '!AK11</f>
        <v>sep</v>
      </c>
      <c r="B135" s="184">
        <f>'ROLL+VL AJA TL+NI '!AL11</f>
        <v>2.6488852212254459</v>
      </c>
      <c r="C135" s="184">
        <f>'ROLL+VL AJA TL+NI '!AM11</f>
        <v>2.8247556128844393</v>
      </c>
      <c r="D135" s="184">
        <f>'ROLL+VL AJA TL+NI '!AN11</f>
        <v>2.8835324871234547</v>
      </c>
      <c r="E135" s="184">
        <f>'ROLL+VL AJA TL+NI '!AO11</f>
        <v>1.9416243041011478</v>
      </c>
      <c r="G135" s="201" t="str">
        <f>'ROLL+VL BAS TL+NI'!AK11</f>
        <v>sep</v>
      </c>
      <c r="H135" s="184">
        <f>'ROLL+VL BAS TL+NI'!AL11</f>
        <v>1.4883703184978334</v>
      </c>
      <c r="I135" s="184">
        <f>'ROLL+VL BAS TL+NI'!AM11</f>
        <v>1.428027307406029</v>
      </c>
      <c r="J135" s="184">
        <f>'ROLL+VL BAS TL+NI'!AN11</f>
        <v>1.4604061209053354</v>
      </c>
      <c r="K135" s="184">
        <f>'ROLL+VL BAS TL+NI'!AO11</f>
        <v>1.4681010090810711</v>
      </c>
      <c r="M135" s="201" t="str">
        <f>'ROLL+VL ILR TL+NI'!AK11</f>
        <v>sep</v>
      </c>
      <c r="N135" s="184">
        <f>'ROLL+VL ILR TL+NI'!AL11</f>
        <v>1.0462788258796036</v>
      </c>
      <c r="O135" s="184">
        <f>'ROLL+VL ILR TL+NI'!AM11</f>
        <v>1.1193330968428521</v>
      </c>
      <c r="P135" s="184">
        <f>'ROLL+VL ILR TL+NI'!AN11</f>
        <v>1.5240810612398203</v>
      </c>
      <c r="Q135" s="184">
        <f>'ROLL+VL ILR TL+NI'!AO11</f>
        <v>1.2364696197035763</v>
      </c>
      <c r="S135" s="201" t="str">
        <f>'ROLL+VL PVE TL+NI '!AK11</f>
        <v>sep</v>
      </c>
      <c r="T135" s="184">
        <f>'ROLL+VL PVE TL+NI '!AL11</f>
        <v>0</v>
      </c>
      <c r="U135" s="184">
        <f>'ROLL+VL PVE TL+NI '!AM11</f>
        <v>0</v>
      </c>
      <c r="V135" s="184">
        <f>'ROLL+VL PVE TL+NI '!AN11</f>
        <v>7.2329974060049498</v>
      </c>
      <c r="W135" s="184">
        <f>'ROLL+VL PVE TL+NI '!AO11</f>
        <v>3.0047324100494124</v>
      </c>
    </row>
    <row r="136" spans="1:24" x14ac:dyDescent="0.25">
      <c r="A136" s="201" t="str">
        <f>'ROLL+VL AJA TL+NI '!AK12</f>
        <v>oct</v>
      </c>
      <c r="B136" s="184">
        <f>'ROLL+VL AJA TL+NI '!AL12</f>
        <v>2.3547355265108991</v>
      </c>
      <c r="C136" s="184">
        <f>'ROLL+VL AJA TL+NI '!AM12</f>
        <v>2.6365675609091968</v>
      </c>
      <c r="D136" s="184">
        <f>'ROLL+VL AJA TL+NI '!AN12</f>
        <v>1.7743181642586727</v>
      </c>
      <c r="E136" s="184">
        <f>'ROLL+VL AJA TL+NI '!AO12</f>
        <v>0.53383007327079446</v>
      </c>
      <c r="G136" s="201" t="str">
        <f>'ROLL+VL BAS TL+NI'!AK12</f>
        <v>oct</v>
      </c>
      <c r="H136" s="184">
        <f>'ROLL+VL BAS TL+NI'!AL12</f>
        <v>1.385695210861525</v>
      </c>
      <c r="I136" s="184">
        <f>'ROLL+VL BAS TL+NI'!AM12</f>
        <v>1.3391175783985683</v>
      </c>
      <c r="J136" s="184">
        <f>'ROLL+VL BAS TL+NI'!AN12</f>
        <v>1.4725551163263073</v>
      </c>
      <c r="K136" s="184">
        <f>'ROLL+VL BAS TL+NI'!AO12</f>
        <v>1.1489531957352328</v>
      </c>
      <c r="M136" s="201" t="str">
        <f>'ROLL+VL ILR TL+NI'!AK12</f>
        <v>oct</v>
      </c>
      <c r="N136" s="184">
        <f>'ROLL+VL ILR TL+NI'!AL12</f>
        <v>1.4136472667592475</v>
      </c>
      <c r="O136" s="184">
        <f>'ROLL+VL ILR TL+NI'!AM12</f>
        <v>10.443595769682725</v>
      </c>
      <c r="P136" s="184">
        <f>'ROLL+VL ILR TL+NI'!AN12</f>
        <v>4.5876563930424172</v>
      </c>
      <c r="Q136" s="184">
        <f>'ROLL+VL ILR TL+NI'!AO12</f>
        <v>3.1496340090090085</v>
      </c>
      <c r="S136" s="201" t="str">
        <f>'ROLL+VL PVE TL+NI '!AK12</f>
        <v>oct</v>
      </c>
      <c r="T136" s="184">
        <f>'ROLL+VL PVE TL+NI '!AL12</f>
        <v>0</v>
      </c>
      <c r="U136" s="184">
        <f>'ROLL+VL PVE TL+NI '!AM12</f>
        <v>0</v>
      </c>
      <c r="V136" s="184">
        <f>'ROLL+VL PVE TL+NI '!AN12</f>
        <v>0.70879445805525054</v>
      </c>
      <c r="W136" s="184">
        <f>'ROLL+VL PVE TL+NI '!AO12</f>
        <v>2.3287399246354283</v>
      </c>
    </row>
    <row r="137" spans="1:24" x14ac:dyDescent="0.25">
      <c r="A137" s="201" t="str">
        <f>'ROLL+VL AJA TL+NI '!AK13</f>
        <v>nov</v>
      </c>
      <c r="B137" s="184">
        <f>'ROLL+VL AJA TL+NI '!AL13</f>
        <v>1.4679750347954728</v>
      </c>
      <c r="C137" s="184">
        <f>'ROLL+VL AJA TL+NI '!AM13</f>
        <v>1.1111111111111112</v>
      </c>
      <c r="D137" s="184">
        <f>'ROLL+VL AJA TL+NI '!AN13</f>
        <v>1.0279823939770236</v>
      </c>
      <c r="E137" s="184">
        <f>'ROLL+VL AJA TL+NI '!AO13</f>
        <v>0</v>
      </c>
      <c r="G137" s="201" t="str">
        <f>'ROLL+VL BAS TL+NI'!AK13</f>
        <v>nov</v>
      </c>
      <c r="H137" s="184">
        <f>'ROLL+VL BAS TL+NI'!AL13</f>
        <v>0.88754422717951165</v>
      </c>
      <c r="I137" s="184">
        <f>'ROLL+VL BAS TL+NI'!AM13</f>
        <v>0.75072530330130249</v>
      </c>
      <c r="J137" s="184">
        <f>'ROLL+VL BAS TL+NI'!AN13</f>
        <v>0.63817438692098094</v>
      </c>
      <c r="K137" s="184">
        <f>'ROLL+VL BAS TL+NI'!AO13</f>
        <v>0</v>
      </c>
      <c r="M137" s="201" t="str">
        <f>'ROLL+VL ILR TL+NI'!AK13</f>
        <v>nov</v>
      </c>
      <c r="N137" s="184">
        <f>'ROLL+VL ILR TL+NI'!AL13</f>
        <v>0.37286908444678474</v>
      </c>
      <c r="O137" s="184">
        <f>'ROLL+VL ILR TL+NI'!AM13</f>
        <v>0.57774798927613946</v>
      </c>
      <c r="P137" s="184">
        <f>'ROLL+VL ILR TL+NI'!AN13</f>
        <v>0.24837696335078535</v>
      </c>
      <c r="Q137" s="184">
        <f>'ROLL+VL ILR TL+NI'!AO13</f>
        <v>0</v>
      </c>
      <c r="S137" s="201" t="str">
        <f>'ROLL+VL PVE TL+NI '!AK13</f>
        <v>nov</v>
      </c>
      <c r="T137" s="184">
        <f>'ROLL+VL PVE TL+NI '!AL13</f>
        <v>0</v>
      </c>
      <c r="U137" s="184">
        <f>'ROLL+VL PVE TL+NI '!AM13</f>
        <v>0</v>
      </c>
      <c r="V137" s="184">
        <f>'ROLL+VL PVE TL+NI '!AN13</f>
        <v>11.882736156351791</v>
      </c>
      <c r="W137" s="184">
        <f>'ROLL+VL PVE TL+NI '!AO13</f>
        <v>0</v>
      </c>
    </row>
    <row r="138" spans="1:24" x14ac:dyDescent="0.25">
      <c r="A138" s="201" t="str">
        <f>'ROLL+VL AJA TL+NI '!AK14</f>
        <v>déc</v>
      </c>
      <c r="B138" s="184">
        <f>'ROLL+VL AJA TL+NI '!AL14</f>
        <v>1.5667814739906403</v>
      </c>
      <c r="C138" s="184">
        <f>'ROLL+VL AJA TL+NI '!AM14</f>
        <v>1.0037750459781238</v>
      </c>
      <c r="D138" s="184">
        <f>'ROLL+VL AJA TL+NI '!AN14</f>
        <v>0.98721650788297788</v>
      </c>
      <c r="E138" s="184">
        <f>'ROLL+VL AJA TL+NI '!AO14</f>
        <v>0</v>
      </c>
      <c r="G138" s="201" t="str">
        <f>'ROLL+VL BAS TL+NI'!AK14</f>
        <v>déc</v>
      </c>
      <c r="H138" s="184">
        <f>'ROLL+VL BAS TL+NI'!AL14</f>
        <v>1.0928340123642999</v>
      </c>
      <c r="I138" s="184">
        <f>'ROLL+VL BAS TL+NI'!AM14</f>
        <v>0.9903416246326886</v>
      </c>
      <c r="J138" s="184">
        <f>'ROLL+VL BAS TL+NI'!AN14</f>
        <v>0.75108342720826982</v>
      </c>
      <c r="K138" s="184">
        <f>'ROLL+VL BAS TL+NI'!AO14</f>
        <v>0</v>
      </c>
      <c r="M138" s="201" t="str">
        <f>'ROLL+VL ILR TL+NI'!AK14</f>
        <v>déc</v>
      </c>
      <c r="N138" s="184">
        <f>'ROLL+VL ILR TL+NI'!AL14</f>
        <v>0.41617210682492584</v>
      </c>
      <c r="O138" s="184">
        <f>'ROLL+VL ILR TL+NI'!AM14</f>
        <v>0.40676416819012795</v>
      </c>
      <c r="P138" s="184">
        <f>'ROLL+VL ILR TL+NI'!AN14</f>
        <v>0.60203811221662773</v>
      </c>
      <c r="Q138" s="184">
        <f>'ROLL+VL ILR TL+NI'!AO14</f>
        <v>0</v>
      </c>
      <c r="S138" s="201" t="str">
        <f>'ROLL+VL PVE TL+NI '!AK14</f>
        <v>déc</v>
      </c>
      <c r="T138" s="184">
        <f>'ROLL+VL PVE TL+NI '!AL14</f>
        <v>0</v>
      </c>
      <c r="U138" s="184">
        <f>'ROLL+VL PVE TL+NI '!AM14</f>
        <v>0</v>
      </c>
      <c r="V138" s="184">
        <f>'ROLL+VL PVE TL+NI '!AN14</f>
        <v>1.2898937511982003</v>
      </c>
      <c r="W138" s="184">
        <f>'ROLL+VL PVE TL+NI '!AO14</f>
        <v>0</v>
      </c>
    </row>
    <row r="139" spans="1:24" x14ac:dyDescent="0.25">
      <c r="A139" s="201" t="str">
        <f>'ROLL+VL AJA TL+NI '!AK15</f>
        <v>MOYENNE</v>
      </c>
      <c r="B139" s="184">
        <f>'ROLL+VL AJA TL+NI '!AL15</f>
        <v>1.7395931684645405</v>
      </c>
      <c r="C139" s="184">
        <f>'ROLL+VL AJA TL+NI '!AM15</f>
        <v>1.8829592269225579</v>
      </c>
      <c r="D139" s="184">
        <f>'ROLL+VL AJA TL+NI '!AN15</f>
        <v>1.732849006034314</v>
      </c>
      <c r="E139" s="184">
        <f>'ROLL+VL AJA TL+NI '!AO15</f>
        <v>1.8851390364145704</v>
      </c>
      <c r="G139" s="201" t="str">
        <f>'ROLL+VL BAS TL+NI'!AK15</f>
        <v>MOYENNE</v>
      </c>
      <c r="H139" s="184">
        <f>'ROLL+VL BAS TL+NI'!AL15</f>
        <v>1.2113714143771288</v>
      </c>
      <c r="I139" s="184">
        <f>'ROLL+VL BAS TL+NI'!AM15</f>
        <v>1.1558149684744432</v>
      </c>
      <c r="J139" s="184">
        <f>'ROLL+VL BAS TL+NI'!AN15</f>
        <v>1.0228824040879532</v>
      </c>
      <c r="K139" s="184">
        <f>'ROLL+VL BAS TL+NI'!AO15</f>
        <v>1.186550373650437</v>
      </c>
      <c r="M139" s="201" t="str">
        <f>'ROLL+VL ILR TL+NI'!AK15</f>
        <v>MOYENNE</v>
      </c>
      <c r="N139" s="184">
        <f>'ROLL+VL ILR TL+NI'!AL15</f>
        <v>0.92147774056720089</v>
      </c>
      <c r="O139" s="184">
        <f>'ROLL+VL ILR TL+NI'!AM15</f>
        <v>1.7569820125019622</v>
      </c>
      <c r="P139" s="184">
        <f>'ROLL+VL ILR TL+NI'!AN15</f>
        <v>1.8149099021705568</v>
      </c>
      <c r="Q139" s="184">
        <f>'ROLL+VL ILR TL+NI'!AO15</f>
        <v>1.3836334362110214</v>
      </c>
      <c r="S139" s="201" t="str">
        <f>'ROLL+VL PVE TL+NI '!AK15</f>
        <v>MOYENNE</v>
      </c>
      <c r="T139" s="184">
        <f>'ROLL+VL PVE TL+NI '!AL15</f>
        <v>1.6965033102503615</v>
      </c>
      <c r="U139" s="184">
        <f>'ROLL+VL PVE TL+NI '!AM15</f>
        <v>0</v>
      </c>
      <c r="V139" s="184">
        <f>'ROLL+VL PVE TL+NI '!AN15</f>
        <v>26.893793024654084</v>
      </c>
      <c r="W139" s="184">
        <f>'ROLL+VL PVE TL+NI '!AO15</f>
        <v>0</v>
      </c>
    </row>
    <row r="143" spans="1:24" ht="23.25" x14ac:dyDescent="0.25">
      <c r="A143" s="209" t="s">
        <v>232</v>
      </c>
    </row>
    <row r="145" spans="1:44" ht="18.75" x14ac:dyDescent="0.25">
      <c r="A145" s="199" t="s">
        <v>225</v>
      </c>
      <c r="B145" s="117"/>
      <c r="C145" s="117"/>
      <c r="D145" s="117"/>
      <c r="E145" s="117"/>
      <c r="F145" s="117"/>
      <c r="G145" s="199" t="s">
        <v>226</v>
      </c>
      <c r="H145" s="200"/>
      <c r="I145" s="200"/>
      <c r="J145" s="200"/>
      <c r="K145" s="200"/>
      <c r="L145" s="200"/>
      <c r="M145" s="199" t="s">
        <v>228</v>
      </c>
      <c r="N145" s="200"/>
      <c r="O145" s="200"/>
      <c r="P145" s="200"/>
      <c r="Q145" s="200"/>
      <c r="R145" s="199"/>
      <c r="S145" s="199" t="s">
        <v>229</v>
      </c>
      <c r="T145" s="200"/>
      <c r="U145" s="200"/>
      <c r="V145" s="200"/>
      <c r="W145" s="200"/>
      <c r="X145" s="200"/>
      <c r="Y145" s="199" t="s">
        <v>230</v>
      </c>
      <c r="Z145" s="200"/>
      <c r="AE145" s="155"/>
      <c r="AF145" s="199" t="s">
        <v>233</v>
      </c>
    </row>
    <row r="146" spans="1:44" x14ac:dyDescent="0.25">
      <c r="A146" s="193" t="str">
        <f>'PAX AJA TL+NI'!J39</f>
        <v xml:space="preserve">BESOIN SERVICE PUBLIC PAX AJACCIO </v>
      </c>
      <c r="B146" s="194"/>
      <c r="C146" s="194"/>
      <c r="D146" s="194"/>
      <c r="E146" s="195"/>
      <c r="G146" s="193" t="str">
        <f>'PAX BAS TL+NI'!J39</f>
        <v xml:space="preserve">BESOIN SERVICE PUBLIC PAX BASTIA </v>
      </c>
      <c r="H146" s="194"/>
      <c r="I146" s="194"/>
      <c r="J146" s="194"/>
      <c r="K146" s="195"/>
      <c r="M146" s="193" t="str">
        <f>'PAX ILR TL+NI'!J39</f>
        <v xml:space="preserve">BESOIN SERVICE PUBLIC PAX ILE ROUSSE </v>
      </c>
      <c r="N146" s="194"/>
      <c r="O146" s="194"/>
      <c r="P146" s="194"/>
      <c r="Q146" s="195"/>
      <c r="S146" s="193" t="str">
        <f>'PAX PVE TL+NI'!J39</f>
        <v>BESOIN SERVICE PUBLIC PAX PORTO-VECCHIO</v>
      </c>
      <c r="T146" s="194"/>
      <c r="U146" s="194"/>
      <c r="V146" s="194"/>
      <c r="W146" s="195"/>
      <c r="Y146" s="193" t="str">
        <f>'PAX PRO TL'!J39</f>
        <v>BESOIN SERVICE PUBLIC PAX  PROPRIANO</v>
      </c>
      <c r="Z146" s="194"/>
      <c r="AA146" s="194"/>
      <c r="AB146" s="194"/>
      <c r="AC146" s="195"/>
      <c r="AE146" s="155"/>
      <c r="AF146" s="193" t="s">
        <v>238</v>
      </c>
      <c r="AG146" s="194"/>
      <c r="AH146" s="194"/>
      <c r="AI146" s="194"/>
      <c r="AJ146" s="195"/>
      <c r="AL146" s="118" t="s">
        <v>271</v>
      </c>
      <c r="AM146" s="118" t="s">
        <v>156</v>
      </c>
      <c r="AN146" s="118" t="s">
        <v>157</v>
      </c>
      <c r="AO146" s="118" t="s">
        <v>267</v>
      </c>
      <c r="AP146" s="118" t="s">
        <v>158</v>
      </c>
      <c r="AQ146" s="118" t="s">
        <v>268</v>
      </c>
      <c r="AR146" s="118" t="s">
        <v>269</v>
      </c>
    </row>
    <row r="147" spans="1:44" x14ac:dyDescent="0.25">
      <c r="A147" s="118"/>
      <c r="B147" s="183">
        <f>'PAX AJA TL+NI'!K40</f>
        <v>2014</v>
      </c>
      <c r="C147" s="183">
        <f>'PAX AJA TL+NI'!L40</f>
        <v>2015</v>
      </c>
      <c r="D147" s="183">
        <f>'PAX AJA TL+NI'!M40</f>
        <v>2016</v>
      </c>
      <c r="E147" s="183">
        <f>'PAX AJA TL+NI'!N40</f>
        <v>2017</v>
      </c>
      <c r="G147" s="118"/>
      <c r="H147" s="183">
        <f>'PAX BAS TL+NI'!K40</f>
        <v>2014</v>
      </c>
      <c r="I147" s="183">
        <f>'PAX BAS TL+NI'!L40</f>
        <v>2015</v>
      </c>
      <c r="J147" s="183">
        <f>'PAX BAS TL+NI'!M40</f>
        <v>2016</v>
      </c>
      <c r="K147" s="183">
        <f>'PAX BAS TL+NI'!N40</f>
        <v>2017</v>
      </c>
      <c r="M147" s="118"/>
      <c r="N147" s="183">
        <f>'PAX ILR TL+NI'!K40</f>
        <v>2014</v>
      </c>
      <c r="O147" s="183">
        <f>'PAX ILR TL+NI'!L40</f>
        <v>2015</v>
      </c>
      <c r="P147" s="183">
        <f>'PAX ILR TL+NI'!M40</f>
        <v>2016</v>
      </c>
      <c r="Q147" s="183">
        <f>'PAX ILR TL+NI'!N40</f>
        <v>2017</v>
      </c>
      <c r="S147" s="118"/>
      <c r="T147" s="183">
        <f>'PAX PVE TL+NI'!K40</f>
        <v>2014</v>
      </c>
      <c r="U147" s="183">
        <f>'PAX PVE TL+NI'!L40</f>
        <v>2015</v>
      </c>
      <c r="V147" s="183">
        <f>'PAX PVE TL+NI'!M40</f>
        <v>2016</v>
      </c>
      <c r="W147" s="183">
        <f>'PAX PVE TL+NI'!N40</f>
        <v>2017</v>
      </c>
      <c r="Y147" s="118"/>
      <c r="Z147" s="183">
        <f>'PAX PRO TL'!K40</f>
        <v>2014</v>
      </c>
      <c r="AA147" s="183">
        <f>'PAX PRO TL'!L40</f>
        <v>2015</v>
      </c>
      <c r="AB147" s="183">
        <f>'PAX PRO TL'!M40</f>
        <v>2016</v>
      </c>
      <c r="AC147" s="183">
        <f>'PAX PRO TL'!N40</f>
        <v>2017</v>
      </c>
      <c r="AE147" s="155"/>
      <c r="AF147" s="118"/>
      <c r="AG147" s="183">
        <v>2014</v>
      </c>
      <c r="AH147" s="183">
        <v>2015</v>
      </c>
      <c r="AI147" s="183">
        <v>2016</v>
      </c>
      <c r="AJ147" s="183">
        <v>2017</v>
      </c>
      <c r="AL147" s="118" t="s">
        <v>20</v>
      </c>
      <c r="AM147" s="212">
        <f>E160</f>
        <v>-1407463.4217029132</v>
      </c>
      <c r="AN147" s="212">
        <f>K160</f>
        <v>-1518732.8685730656</v>
      </c>
      <c r="AO147" s="212">
        <f>W160</f>
        <v>33083.852068069973</v>
      </c>
      <c r="AP147" s="212">
        <f>AC160</f>
        <v>67599.019302008193</v>
      </c>
      <c r="AQ147" s="212">
        <f>Q160</f>
        <v>-440047.5197869924</v>
      </c>
      <c r="AR147" s="212">
        <f>SUM(AM147:AQ147)</f>
        <v>-3265560.9386928934</v>
      </c>
    </row>
    <row r="148" spans="1:44" x14ac:dyDescent="0.25">
      <c r="A148" s="171" t="str">
        <f>'PAX AJA TL+NI'!J41</f>
        <v>jan</v>
      </c>
      <c r="B148" s="205">
        <f>'PAX AJA TL+NI'!K41</f>
        <v>-146535</v>
      </c>
      <c r="C148" s="205">
        <f>'PAX AJA TL+NI'!L41</f>
        <v>-112453</v>
      </c>
      <c r="D148" s="205">
        <f>'PAX AJA TL+NI'!M41</f>
        <v>-129895</v>
      </c>
      <c r="E148" s="205">
        <f>'PAX AJA TL+NI'!N41</f>
        <v>-125374.66666666666</v>
      </c>
      <c r="G148" s="171" t="str">
        <f>'PAX BAS TL+NI'!J41</f>
        <v>jan</v>
      </c>
      <c r="H148" s="205">
        <f>'PAX BAS TL+NI'!K41</f>
        <v>-142512</v>
      </c>
      <c r="I148" s="205">
        <f>'PAX BAS TL+NI'!L41</f>
        <v>-128793</v>
      </c>
      <c r="J148" s="205">
        <f>'PAX BAS TL+NI'!M41</f>
        <v>-150083</v>
      </c>
      <c r="K148" s="205">
        <f>'PAX BAS TL+NI'!N41</f>
        <v>-128797.33333333334</v>
      </c>
      <c r="M148" s="171" t="str">
        <f>'PAX ILR TL+NI'!J41</f>
        <v>jan</v>
      </c>
      <c r="N148" s="205">
        <f>'PAX ILR TL+NI'!K41</f>
        <v>-2187</v>
      </c>
      <c r="O148" s="205">
        <f>'PAX ILR TL+NI'!L41</f>
        <v>-2765</v>
      </c>
      <c r="P148" s="205">
        <f>'PAX ILR TL+NI'!M41</f>
        <v>-13005</v>
      </c>
      <c r="Q148" s="205">
        <f>'PAX ILR TL+NI'!N41</f>
        <v>-6578</v>
      </c>
      <c r="S148" s="171" t="str">
        <f>'PAX PVE TL+NI'!J41</f>
        <v>jan</v>
      </c>
      <c r="T148" s="205">
        <f>'PAX PVE TL+NI'!K41</f>
        <v>1313</v>
      </c>
      <c r="U148" s="205">
        <f>'PAX PVE TL+NI'!L41</f>
        <v>2362</v>
      </c>
      <c r="V148" s="205">
        <f>'PAX PVE TL+NI'!M41</f>
        <v>-127</v>
      </c>
      <c r="W148" s="205">
        <f>'PAX PVE TL+NI'!N41</f>
        <v>3233</v>
      </c>
      <c r="Y148" s="171" t="str">
        <f>'PAX PRO TL'!J41</f>
        <v>jan</v>
      </c>
      <c r="Z148" s="205">
        <f>'PAX PRO TL'!K41</f>
        <v>972</v>
      </c>
      <c r="AA148" s="205">
        <f>'PAX PRO TL'!L41</f>
        <v>2074</v>
      </c>
      <c r="AB148" s="205">
        <f>'PAX PRO TL'!M41</f>
        <v>1839</v>
      </c>
      <c r="AC148" s="205">
        <f>'PAX PRO TL'!N41</f>
        <v>1757</v>
      </c>
      <c r="AE148" s="155"/>
      <c r="AF148" s="171" t="s">
        <v>36</v>
      </c>
      <c r="AG148" s="205">
        <f>B148+H148+N148+T148+Z148</f>
        <v>-288949</v>
      </c>
      <c r="AH148" s="205">
        <f t="shared" ref="AH148:AJ159" si="0">C148+I148+O148+U148+AA148</f>
        <v>-239575</v>
      </c>
      <c r="AI148" s="205">
        <f t="shared" si="0"/>
        <v>-291271</v>
      </c>
      <c r="AJ148" s="205">
        <f t="shared" si="0"/>
        <v>-255760</v>
      </c>
      <c r="AL148" s="118" t="s">
        <v>162</v>
      </c>
      <c r="AM148" s="212">
        <f>E176</f>
        <v>13145.675630223519</v>
      </c>
      <c r="AN148" s="212">
        <f>K176</f>
        <v>-129218.16730436918</v>
      </c>
      <c r="AO148" s="212">
        <f>W176</f>
        <v>88735.08482850017</v>
      </c>
      <c r="AP148" s="212">
        <f>AC176</f>
        <v>26309.352388276511</v>
      </c>
      <c r="AQ148" s="212">
        <f>Q176</f>
        <v>-135579.19184296051</v>
      </c>
      <c r="AR148" s="212">
        <f>SUM(AM148:AQ148)</f>
        <v>-136607.24630032951</v>
      </c>
    </row>
    <row r="149" spans="1:44" x14ac:dyDescent="0.25">
      <c r="A149" s="171" t="str">
        <f>'PAX AJA TL+NI'!J42</f>
        <v>fév</v>
      </c>
      <c r="B149" s="205">
        <f>'PAX AJA TL+NI'!K42</f>
        <v>-111362</v>
      </c>
      <c r="C149" s="205">
        <f>'PAX AJA TL+NI'!L42</f>
        <v>-95796</v>
      </c>
      <c r="D149" s="205">
        <f>'PAX AJA TL+NI'!M42</f>
        <v>-110076</v>
      </c>
      <c r="E149" s="205">
        <f>'PAX AJA TL+NI'!N42</f>
        <v>-105702.33333333333</v>
      </c>
      <c r="G149" s="171" t="str">
        <f>'PAX BAS TL+NI'!J42</f>
        <v>fév</v>
      </c>
      <c r="H149" s="205">
        <f>'PAX BAS TL+NI'!K42</f>
        <v>-119576</v>
      </c>
      <c r="I149" s="205">
        <f>'PAX BAS TL+NI'!L42</f>
        <v>-111317</v>
      </c>
      <c r="J149" s="205">
        <f>'PAX BAS TL+NI'!M42</f>
        <v>-123517</v>
      </c>
      <c r="K149" s="205">
        <f>'PAX BAS TL+NI'!N42</f>
        <v>-114973.33333333334</v>
      </c>
      <c r="M149" s="171" t="str">
        <f>'PAX ILR TL+NI'!J42</f>
        <v>fév</v>
      </c>
      <c r="N149" s="205">
        <f>'PAX ILR TL+NI'!K42</f>
        <v>-7558</v>
      </c>
      <c r="O149" s="205">
        <f>'PAX ILR TL+NI'!L42</f>
        <v>-6143</v>
      </c>
      <c r="P149" s="205">
        <f>'PAX ILR TL+NI'!M42</f>
        <v>-2706</v>
      </c>
      <c r="Q149" s="205">
        <f>'PAX ILR TL+NI'!N42</f>
        <v>-8379.6666666666679</v>
      </c>
      <c r="S149" s="171" t="str">
        <f>'PAX PVE TL+NI'!J42</f>
        <v>fév</v>
      </c>
      <c r="T149" s="205">
        <f>'PAX PVE TL+NI'!K42</f>
        <v>1689</v>
      </c>
      <c r="U149" s="205">
        <f>'PAX PVE TL+NI'!L42</f>
        <v>2331</v>
      </c>
      <c r="V149" s="205">
        <f>'PAX PVE TL+NI'!M42</f>
        <v>2761</v>
      </c>
      <c r="W149" s="205">
        <f>'PAX PVE TL+NI'!N42</f>
        <v>5762</v>
      </c>
      <c r="Y149" s="171" t="str">
        <f>'PAX PRO TL'!J42</f>
        <v>fév</v>
      </c>
      <c r="Z149" s="205">
        <f>'PAX PRO TL'!K42</f>
        <v>1711</v>
      </c>
      <c r="AA149" s="205">
        <f>'PAX PRO TL'!L42</f>
        <v>1877</v>
      </c>
      <c r="AB149" s="205">
        <f>'PAX PRO TL'!M42</f>
        <v>1761</v>
      </c>
      <c r="AC149" s="205">
        <f>'PAX PRO TL'!N42</f>
        <v>1694</v>
      </c>
      <c r="AE149" s="155"/>
      <c r="AF149" s="171" t="s">
        <v>37</v>
      </c>
      <c r="AG149" s="205">
        <f t="shared" ref="AG149:AG159" si="1">B149+H149+N149+T149+Z149</f>
        <v>-235096</v>
      </c>
      <c r="AH149" s="205">
        <f t="shared" si="0"/>
        <v>-209048</v>
      </c>
      <c r="AI149" s="205">
        <f t="shared" si="0"/>
        <v>-231777</v>
      </c>
      <c r="AJ149" s="205">
        <f t="shared" si="0"/>
        <v>-221599.33333333334</v>
      </c>
      <c r="AL149" s="118" t="s">
        <v>270</v>
      </c>
      <c r="AM149" s="212">
        <f>E192</f>
        <v>478957.66113224142</v>
      </c>
      <c r="AN149" s="212">
        <f>K192</f>
        <v>778980.7649151946</v>
      </c>
      <c r="AO149" s="212">
        <f>W192</f>
        <v>163154.97421156603</v>
      </c>
      <c r="AP149" s="212">
        <f>AC192</f>
        <v>106902.08973477239</v>
      </c>
      <c r="AQ149" s="212">
        <f>Q192</f>
        <v>47145.465264075974</v>
      </c>
      <c r="AR149" s="212">
        <f>SUM(AM149:AQ149)</f>
        <v>1575140.9552578505</v>
      </c>
    </row>
    <row r="150" spans="1:44" x14ac:dyDescent="0.25">
      <c r="A150" s="171" t="str">
        <f>'PAX AJA TL+NI'!J43</f>
        <v>mar</v>
      </c>
      <c r="B150" s="205">
        <f>'PAX AJA TL+NI'!K43</f>
        <v>-120835</v>
      </c>
      <c r="C150" s="205">
        <f>'PAX AJA TL+NI'!L43</f>
        <v>-100120</v>
      </c>
      <c r="D150" s="205">
        <f>'PAX AJA TL+NI'!M43</f>
        <v>-119287</v>
      </c>
      <c r="E150" s="205">
        <f>'PAX AJA TL+NI'!N43</f>
        <v>-116905.66666666666</v>
      </c>
      <c r="G150" s="171" t="str">
        <f>'PAX BAS TL+NI'!J43</f>
        <v>mar</v>
      </c>
      <c r="H150" s="205">
        <f>'PAX BAS TL+NI'!K43</f>
        <v>-124737</v>
      </c>
      <c r="I150" s="205">
        <f>'PAX BAS TL+NI'!L43</f>
        <v>-120859</v>
      </c>
      <c r="J150" s="205">
        <f>'PAX BAS TL+NI'!M43</f>
        <v>-130061</v>
      </c>
      <c r="K150" s="205">
        <f>'PAX BAS TL+NI'!N43</f>
        <v>-128307</v>
      </c>
      <c r="M150" s="171" t="str">
        <f>'PAX ILR TL+NI'!J43</f>
        <v>mar</v>
      </c>
      <c r="N150" s="205">
        <f>'PAX ILR TL+NI'!K43</f>
        <v>-528</v>
      </c>
      <c r="O150" s="205">
        <f>'PAX ILR TL+NI'!L43</f>
        <v>-6932</v>
      </c>
      <c r="P150" s="205">
        <f>'PAX ILR TL+NI'!M43</f>
        <v>-4091</v>
      </c>
      <c r="Q150" s="205">
        <f>'PAX ILR TL+NI'!N43</f>
        <v>-2966</v>
      </c>
      <c r="S150" s="171" t="str">
        <f>'PAX PVE TL+NI'!J43</f>
        <v>mar</v>
      </c>
      <c r="T150" s="205">
        <f>'PAX PVE TL+NI'!K43</f>
        <v>3760</v>
      </c>
      <c r="U150" s="205">
        <f>'PAX PVE TL+NI'!L43</f>
        <v>2736</v>
      </c>
      <c r="V150" s="205">
        <f>'PAX PVE TL+NI'!M43</f>
        <v>2742</v>
      </c>
      <c r="W150" s="205">
        <f>'PAX PVE TL+NI'!N43</f>
        <v>5602</v>
      </c>
      <c r="Y150" s="171" t="str">
        <f>'PAX PRO TL'!J43</f>
        <v>mar</v>
      </c>
      <c r="Z150" s="205">
        <f>'PAX PRO TL'!K43</f>
        <v>2329</v>
      </c>
      <c r="AA150" s="205">
        <f>'PAX PRO TL'!L43</f>
        <v>2132</v>
      </c>
      <c r="AB150" s="205">
        <f>'PAX PRO TL'!M43</f>
        <v>2309</v>
      </c>
      <c r="AC150" s="205">
        <f>'PAX PRO TL'!N43</f>
        <v>1056</v>
      </c>
      <c r="AE150" s="155"/>
      <c r="AF150" s="171" t="s">
        <v>38</v>
      </c>
      <c r="AG150" s="205">
        <f t="shared" si="1"/>
        <v>-240011</v>
      </c>
      <c r="AH150" s="205">
        <f t="shared" si="0"/>
        <v>-223043</v>
      </c>
      <c r="AI150" s="205">
        <f t="shared" si="0"/>
        <v>-248388</v>
      </c>
      <c r="AJ150" s="205">
        <f t="shared" si="0"/>
        <v>-241520.66666666666</v>
      </c>
    </row>
    <row r="151" spans="1:44" x14ac:dyDescent="0.25">
      <c r="A151" s="171" t="str">
        <f>'PAX AJA TL+NI'!J44</f>
        <v>avr</v>
      </c>
      <c r="B151" s="205">
        <f>'PAX AJA TL+NI'!K44</f>
        <v>-123991</v>
      </c>
      <c r="C151" s="205">
        <f>'PAX AJA TL+NI'!L44</f>
        <v>-113155</v>
      </c>
      <c r="D151" s="205">
        <f>'PAX AJA TL+NI'!M44</f>
        <v>-151345</v>
      </c>
      <c r="E151" s="205">
        <f>'PAX AJA TL+NI'!N44</f>
        <v>-116648</v>
      </c>
      <c r="G151" s="171" t="str">
        <f>'PAX BAS TL+NI'!J44</f>
        <v>avr</v>
      </c>
      <c r="H151" s="205">
        <f>'PAX BAS TL+NI'!K44</f>
        <v>-103679</v>
      </c>
      <c r="I151" s="205">
        <f>'PAX BAS TL+NI'!L44</f>
        <v>-119903</v>
      </c>
      <c r="J151" s="205">
        <f>'PAX BAS TL+NI'!M44</f>
        <v>-141897</v>
      </c>
      <c r="K151" s="205">
        <f>'PAX BAS TL+NI'!N44</f>
        <v>-125148.33333333331</v>
      </c>
      <c r="M151" s="171" t="str">
        <f>'PAX ILR TL+NI'!J44</f>
        <v>avr</v>
      </c>
      <c r="N151" s="205">
        <f>'PAX ILR TL+NI'!K44</f>
        <v>-13411</v>
      </c>
      <c r="O151" s="205">
        <f>'PAX ILR TL+NI'!L44</f>
        <v>-4257</v>
      </c>
      <c r="P151" s="205">
        <f>'PAX ILR TL+NI'!M44</f>
        <v>-22972</v>
      </c>
      <c r="Q151" s="205">
        <f>'PAX ILR TL+NI'!N44</f>
        <v>-17391.666666666664</v>
      </c>
      <c r="S151" s="171" t="str">
        <f>'PAX PVE TL+NI'!J44</f>
        <v>avr</v>
      </c>
      <c r="T151" s="205">
        <f>'PAX PVE TL+NI'!K44</f>
        <v>5509</v>
      </c>
      <c r="U151" s="205">
        <f>'PAX PVE TL+NI'!L44</f>
        <v>5503</v>
      </c>
      <c r="V151" s="205">
        <f>'PAX PVE TL+NI'!M44</f>
        <v>5518</v>
      </c>
      <c r="W151" s="205">
        <f>'PAX PVE TL+NI'!N44</f>
        <v>4722</v>
      </c>
      <c r="Y151" s="171" t="str">
        <f>'PAX PRO TL'!J44</f>
        <v>avr</v>
      </c>
      <c r="Z151" s="205">
        <f>'PAX PRO TL'!K44</f>
        <v>4072</v>
      </c>
      <c r="AA151" s="205">
        <f>'PAX PRO TL'!L44</f>
        <v>4990</v>
      </c>
      <c r="AB151" s="205">
        <f>'PAX PRO TL'!M44</f>
        <v>5154</v>
      </c>
      <c r="AC151" s="205">
        <f>'PAX PRO TL'!N44</f>
        <v>4672</v>
      </c>
      <c r="AE151" s="155"/>
      <c r="AF151" s="171" t="s">
        <v>39</v>
      </c>
      <c r="AG151" s="205">
        <f t="shared" si="1"/>
        <v>-231500</v>
      </c>
      <c r="AH151" s="205">
        <f t="shared" si="0"/>
        <v>-226822</v>
      </c>
      <c r="AI151" s="205">
        <f t="shared" si="0"/>
        <v>-305542</v>
      </c>
      <c r="AJ151" s="205">
        <f t="shared" si="0"/>
        <v>-249793.99999999997</v>
      </c>
    </row>
    <row r="152" spans="1:44" x14ac:dyDescent="0.25">
      <c r="A152" s="171" t="str">
        <f>'PAX AJA TL+NI'!J45</f>
        <v>mai</v>
      </c>
      <c r="B152" s="205">
        <f>'PAX AJA TL+NI'!K45</f>
        <v>-142481</v>
      </c>
      <c r="C152" s="205">
        <f>'PAX AJA TL+NI'!L45</f>
        <v>-132144</v>
      </c>
      <c r="D152" s="205">
        <f>'PAX AJA TL+NI'!M45</f>
        <v>-118990</v>
      </c>
      <c r="E152" s="205">
        <f>'PAX AJA TL+NI'!N45</f>
        <v>-135211</v>
      </c>
      <c r="G152" s="171" t="str">
        <f>'PAX BAS TL+NI'!J45</f>
        <v>mai</v>
      </c>
      <c r="H152" s="205">
        <f>'PAX BAS TL+NI'!K45</f>
        <v>-103905</v>
      </c>
      <c r="I152" s="205">
        <f>'PAX BAS TL+NI'!L45</f>
        <v>-126708</v>
      </c>
      <c r="J152" s="205">
        <f>'PAX BAS TL+NI'!M45</f>
        <v>-126859</v>
      </c>
      <c r="K152" s="205">
        <f>'PAX BAS TL+NI'!N45</f>
        <v>-133369</v>
      </c>
      <c r="M152" s="171" t="str">
        <f>'PAX ILR TL+NI'!J45</f>
        <v>mai</v>
      </c>
      <c r="N152" s="205">
        <f>'PAX ILR TL+NI'!K45</f>
        <v>-26775</v>
      </c>
      <c r="O152" s="205">
        <f>'PAX ILR TL+NI'!L45</f>
        <v>-16244</v>
      </c>
      <c r="P152" s="205">
        <f>'PAX ILR TL+NI'!M45</f>
        <v>-10280</v>
      </c>
      <c r="Q152" s="205">
        <f>'PAX ILR TL+NI'!N45</f>
        <v>-27356.333333333336</v>
      </c>
      <c r="S152" s="171" t="str">
        <f>'PAX PVE TL+NI'!J45</f>
        <v>mai</v>
      </c>
      <c r="T152" s="205">
        <f>'PAX PVE TL+NI'!K45</f>
        <v>9066</v>
      </c>
      <c r="U152" s="205">
        <f>'PAX PVE TL+NI'!L45</f>
        <v>7408</v>
      </c>
      <c r="V152" s="205">
        <f>'PAX PVE TL+NI'!M45</f>
        <v>7567</v>
      </c>
      <c r="W152" s="205">
        <f>'PAX PVE TL+NI'!N45</f>
        <v>4743</v>
      </c>
      <c r="Y152" s="171" t="str">
        <f>'PAX PRO TL'!J45</f>
        <v>mai</v>
      </c>
      <c r="Z152" s="205">
        <f>'PAX PRO TL'!K45</f>
        <v>6986</v>
      </c>
      <c r="AA152" s="205">
        <f>'PAX PRO TL'!L45</f>
        <v>7282</v>
      </c>
      <c r="AB152" s="205">
        <f>'PAX PRO TL'!M45</f>
        <v>5439</v>
      </c>
      <c r="AC152" s="205">
        <f>'PAX PRO TL'!N45</f>
        <v>5110</v>
      </c>
      <c r="AE152" s="155"/>
      <c r="AF152" s="171" t="s">
        <v>40</v>
      </c>
      <c r="AG152" s="205">
        <f t="shared" si="1"/>
        <v>-257109</v>
      </c>
      <c r="AH152" s="205">
        <f t="shared" si="0"/>
        <v>-260406</v>
      </c>
      <c r="AI152" s="205">
        <f t="shared" si="0"/>
        <v>-243123</v>
      </c>
      <c r="AJ152" s="205">
        <f t="shared" si="0"/>
        <v>-286083.33333333331</v>
      </c>
    </row>
    <row r="153" spans="1:44" x14ac:dyDescent="0.25">
      <c r="A153" s="171" t="str">
        <f>'PAX AJA TL+NI'!J46</f>
        <v>juin</v>
      </c>
      <c r="B153" s="205">
        <f>'PAX AJA TL+NI'!K46</f>
        <v>-157320</v>
      </c>
      <c r="C153" s="205">
        <f>'PAX AJA TL+NI'!L46</f>
        <v>-174950</v>
      </c>
      <c r="D153" s="205">
        <f>'PAX AJA TL+NI'!M46</f>
        <v>-157440</v>
      </c>
      <c r="E153" s="205">
        <f>'PAX AJA TL+NI'!N46</f>
        <v>-141954</v>
      </c>
      <c r="G153" s="171" t="str">
        <f>'PAX BAS TL+NI'!J46</f>
        <v>juin</v>
      </c>
      <c r="H153" s="205">
        <f>'PAX BAS TL+NI'!K46</f>
        <v>-110312</v>
      </c>
      <c r="I153" s="205">
        <f>'PAX BAS TL+NI'!L46</f>
        <v>-133592</v>
      </c>
      <c r="J153" s="205">
        <f>'PAX BAS TL+NI'!M46</f>
        <v>-199519</v>
      </c>
      <c r="K153" s="205">
        <f>'PAX BAS TL+NI'!N46</f>
        <v>-153566</v>
      </c>
      <c r="M153" s="171" t="str">
        <f>'PAX ILR TL+NI'!J46</f>
        <v>juin</v>
      </c>
      <c r="N153" s="205">
        <f>'PAX ILR TL+NI'!K46</f>
        <v>-55218</v>
      </c>
      <c r="O153" s="205">
        <f>'PAX ILR TL+NI'!L46</f>
        <v>-49164</v>
      </c>
      <c r="P153" s="205">
        <f>'PAX ILR TL+NI'!M46</f>
        <v>-38736</v>
      </c>
      <c r="Q153" s="205">
        <f>'PAX ILR TL+NI'!N46</f>
        <v>-38311.333333333328</v>
      </c>
      <c r="S153" s="171" t="str">
        <f>'PAX PVE TL+NI'!J46</f>
        <v>juin</v>
      </c>
      <c r="T153" s="205">
        <f>'PAX PVE TL+NI'!K46</f>
        <v>8806</v>
      </c>
      <c r="U153" s="205">
        <f>'PAX PVE TL+NI'!L46</f>
        <v>8999</v>
      </c>
      <c r="V153" s="205">
        <f>'PAX PVE TL+NI'!M46</f>
        <v>-4124</v>
      </c>
      <c r="W153" s="205">
        <f>'PAX PVE TL+NI'!N46</f>
        <v>-3814</v>
      </c>
      <c r="Y153" s="171" t="str">
        <f>'PAX PRO TL'!J46</f>
        <v>juin</v>
      </c>
      <c r="Z153" s="205">
        <f>'PAX PRO TL'!K46</f>
        <v>8150</v>
      </c>
      <c r="AA153" s="205">
        <f>'PAX PRO TL'!L46</f>
        <v>6830</v>
      </c>
      <c r="AB153" s="205">
        <f>'PAX PRO TL'!M46</f>
        <v>6327</v>
      </c>
      <c r="AC153" s="205">
        <f>'PAX PRO TL'!N46</f>
        <v>6574</v>
      </c>
      <c r="AE153" s="155"/>
      <c r="AF153" s="171" t="s">
        <v>41</v>
      </c>
      <c r="AG153" s="205">
        <f t="shared" si="1"/>
        <v>-305894</v>
      </c>
      <c r="AH153" s="205">
        <f t="shared" si="0"/>
        <v>-341877</v>
      </c>
      <c r="AI153" s="205">
        <f t="shared" si="0"/>
        <v>-393492</v>
      </c>
      <c r="AJ153" s="205">
        <f t="shared" si="0"/>
        <v>-331071.33333333331</v>
      </c>
    </row>
    <row r="154" spans="1:44" x14ac:dyDescent="0.25">
      <c r="A154" s="171" t="str">
        <f>'PAX AJA TL+NI'!J47</f>
        <v>juil</v>
      </c>
      <c r="B154" s="205">
        <f>'PAX AJA TL+NI'!K47</f>
        <v>-133459</v>
      </c>
      <c r="C154" s="205">
        <f>'PAX AJA TL+NI'!L47</f>
        <v>-100843</v>
      </c>
      <c r="D154" s="205">
        <f>'PAX AJA TL+NI'!M47</f>
        <v>-123256</v>
      </c>
      <c r="E154" s="205">
        <f>'PAX AJA TL+NI'!N47</f>
        <v>-124088</v>
      </c>
      <c r="G154" s="171" t="str">
        <f>'PAX BAS TL+NI'!J47</f>
        <v>juil</v>
      </c>
      <c r="H154" s="205">
        <f>'PAX BAS TL+NI'!K47</f>
        <v>-83033</v>
      </c>
      <c r="I154" s="205">
        <f>'PAX BAS TL+NI'!L47</f>
        <v>-74951</v>
      </c>
      <c r="J154" s="205">
        <f>'PAX BAS TL+NI'!M47</f>
        <v>-177876</v>
      </c>
      <c r="K154" s="205">
        <f>'PAX BAS TL+NI'!N47</f>
        <v>-132408.33333333337</v>
      </c>
      <c r="M154" s="171" t="str">
        <f>'PAX ILR TL+NI'!J47</f>
        <v>juil</v>
      </c>
      <c r="N154" s="205">
        <f>'PAX ILR TL+NI'!K47</f>
        <v>-153310</v>
      </c>
      <c r="O154" s="205">
        <f>'PAX ILR TL+NI'!L47</f>
        <v>-109081</v>
      </c>
      <c r="P154" s="205">
        <f>'PAX ILR TL+NI'!M47</f>
        <v>-66220</v>
      </c>
      <c r="Q154" s="205">
        <f>'PAX ILR TL+NI'!N47</f>
        <v>-113649</v>
      </c>
      <c r="S154" s="171" t="str">
        <f>'PAX PVE TL+NI'!J47</f>
        <v>juil</v>
      </c>
      <c r="T154" s="205">
        <f>'PAX PVE TL+NI'!K47</f>
        <v>14942</v>
      </c>
      <c r="U154" s="205">
        <f>'PAX PVE TL+NI'!L47</f>
        <v>15288</v>
      </c>
      <c r="V154" s="205">
        <f>'PAX PVE TL+NI'!M47</f>
        <v>10778</v>
      </c>
      <c r="W154" s="205">
        <f>'PAX PVE TL+NI'!N47</f>
        <v>6174</v>
      </c>
      <c r="Y154" s="171" t="str">
        <f>'PAX PRO TL'!J47</f>
        <v>juil</v>
      </c>
      <c r="Z154" s="205">
        <f>'PAX PRO TL'!K47</f>
        <v>11299</v>
      </c>
      <c r="AA154" s="205">
        <f>'PAX PRO TL'!L47</f>
        <v>14077</v>
      </c>
      <c r="AB154" s="205">
        <f>'PAX PRO TL'!M47</f>
        <v>13367</v>
      </c>
      <c r="AC154" s="205">
        <f>'PAX PRO TL'!N47</f>
        <v>12371</v>
      </c>
      <c r="AE154" s="155"/>
      <c r="AF154" s="171" t="s">
        <v>42</v>
      </c>
      <c r="AG154" s="205">
        <f t="shared" si="1"/>
        <v>-343561</v>
      </c>
      <c r="AH154" s="205">
        <f t="shared" si="0"/>
        <v>-255510</v>
      </c>
      <c r="AI154" s="205">
        <f t="shared" si="0"/>
        <v>-343207</v>
      </c>
      <c r="AJ154" s="205">
        <f t="shared" si="0"/>
        <v>-351600.33333333337</v>
      </c>
    </row>
    <row r="155" spans="1:44" x14ac:dyDescent="0.25">
      <c r="A155" s="171" t="str">
        <f>'PAX AJA TL+NI'!J48</f>
        <v>aou</v>
      </c>
      <c r="B155" s="205">
        <f>'PAX AJA TL+NI'!K48</f>
        <v>-72551</v>
      </c>
      <c r="C155" s="205">
        <f>'PAX AJA TL+NI'!L48</f>
        <v>-56899</v>
      </c>
      <c r="D155" s="205">
        <f>'PAX AJA TL+NI'!M48</f>
        <v>-80105</v>
      </c>
      <c r="E155" s="205">
        <f>'PAX AJA TL+NI'!N48</f>
        <v>-89361</v>
      </c>
      <c r="G155" s="171" t="str">
        <f>'PAX BAS TL+NI'!J48</f>
        <v>aou</v>
      </c>
      <c r="H155" s="205">
        <f>'PAX BAS TL+NI'!K48</f>
        <v>-15225</v>
      </c>
      <c r="I155" s="205">
        <f>'PAX BAS TL+NI'!L48</f>
        <v>-29668</v>
      </c>
      <c r="J155" s="205">
        <f>'PAX BAS TL+NI'!M48</f>
        <v>-97744</v>
      </c>
      <c r="K155" s="205">
        <f>'PAX BAS TL+NI'!N48</f>
        <v>-73841</v>
      </c>
      <c r="M155" s="171" t="str">
        <f>'PAX ILR TL+NI'!J48</f>
        <v>aou</v>
      </c>
      <c r="N155" s="205">
        <f>'PAX ILR TL+NI'!K48</f>
        <v>-108568</v>
      </c>
      <c r="O155" s="205">
        <f>'PAX ILR TL+NI'!L48</f>
        <v>-116585</v>
      </c>
      <c r="P155" s="205">
        <f>'PAX ILR TL+NI'!M48</f>
        <v>-90035</v>
      </c>
      <c r="Q155" s="205">
        <f>'PAX ILR TL+NI'!N48</f>
        <v>-127419.33333333337</v>
      </c>
      <c r="S155" s="171" t="str">
        <f>'PAX PVE TL+NI'!J48</f>
        <v>aou</v>
      </c>
      <c r="T155" s="205">
        <f>'PAX PVE TL+NI'!K48</f>
        <v>32834</v>
      </c>
      <c r="U155" s="205">
        <f>'PAX PVE TL+NI'!L48</f>
        <v>21513</v>
      </c>
      <c r="V155" s="205">
        <f>'PAX PVE TL+NI'!M48</f>
        <v>6936</v>
      </c>
      <c r="W155" s="205">
        <f>'PAX PVE TL+NI'!N48</f>
        <v>7269</v>
      </c>
      <c r="Y155" s="171" t="str">
        <f>'PAX PRO TL'!J48</f>
        <v>aou</v>
      </c>
      <c r="Z155" s="205">
        <f>'PAX PRO TL'!K48</f>
        <v>21762</v>
      </c>
      <c r="AA155" s="205">
        <f>'PAX PRO TL'!L48</f>
        <v>22671</v>
      </c>
      <c r="AB155" s="205">
        <f>'PAX PRO TL'!M48</f>
        <v>13325</v>
      </c>
      <c r="AC155" s="205">
        <f>'PAX PRO TL'!N48</f>
        <v>14435</v>
      </c>
      <c r="AE155" s="155"/>
      <c r="AF155" s="171" t="s">
        <v>43</v>
      </c>
      <c r="AG155" s="205">
        <f t="shared" si="1"/>
        <v>-141748</v>
      </c>
      <c r="AH155" s="205">
        <f t="shared" si="0"/>
        <v>-158968</v>
      </c>
      <c r="AI155" s="205">
        <f t="shared" si="0"/>
        <v>-247623</v>
      </c>
      <c r="AJ155" s="205">
        <f t="shared" si="0"/>
        <v>-268917.33333333337</v>
      </c>
    </row>
    <row r="156" spans="1:44" x14ac:dyDescent="0.25">
      <c r="A156" s="171" t="str">
        <f>'PAX AJA TL+NI'!J49</f>
        <v>sep</v>
      </c>
      <c r="B156" s="205">
        <f>'PAX AJA TL+NI'!K49</f>
        <v>-129772</v>
      </c>
      <c r="C156" s="205">
        <f>'PAX AJA TL+NI'!L49</f>
        <v>-139453</v>
      </c>
      <c r="D156" s="205">
        <f>'PAX AJA TL+NI'!M49</f>
        <v>-142179</v>
      </c>
      <c r="E156" s="205">
        <f>'PAX AJA TL+NI'!N49</f>
        <v>-124893.66666666666</v>
      </c>
      <c r="G156" s="171" t="str">
        <f>'PAX BAS TL+NI'!J49</f>
        <v>sep</v>
      </c>
      <c r="H156" s="205">
        <f>'PAX BAS TL+NI'!K49</f>
        <v>-107108</v>
      </c>
      <c r="I156" s="205">
        <f>'PAX BAS TL+NI'!L49</f>
        <v>-118821</v>
      </c>
      <c r="J156" s="205">
        <f>'PAX BAS TL+NI'!M49</f>
        <v>-134003</v>
      </c>
      <c r="K156" s="205">
        <f>'PAX BAS TL+NI'!N49</f>
        <v>-143386</v>
      </c>
      <c r="M156" s="171" t="str">
        <f>'PAX ILR TL+NI'!J49</f>
        <v>sep</v>
      </c>
      <c r="N156" s="205">
        <f>'PAX ILR TL+NI'!K49</f>
        <v>-52973</v>
      </c>
      <c r="O156" s="205">
        <f>'PAX ILR TL+NI'!L49</f>
        <v>-44796</v>
      </c>
      <c r="P156" s="205">
        <f>'PAX ILR TL+NI'!M49</f>
        <v>-52814</v>
      </c>
      <c r="Q156" s="205">
        <f>'PAX ILR TL+NI'!N49</f>
        <v>-55726.666666666657</v>
      </c>
      <c r="S156" s="171" t="str">
        <f>'PAX PVE TL+NI'!J49</f>
        <v>sep</v>
      </c>
      <c r="T156" s="205">
        <f>'PAX PVE TL+NI'!K49</f>
        <v>10049</v>
      </c>
      <c r="U156" s="205">
        <f>'PAX PVE TL+NI'!L49</f>
        <v>9428</v>
      </c>
      <c r="V156" s="205">
        <f>'PAX PVE TL+NI'!M49</f>
        <v>-4886</v>
      </c>
      <c r="W156" s="205">
        <f>'PAX PVE TL+NI'!N49</f>
        <v>-5708</v>
      </c>
      <c r="Y156" s="171" t="str">
        <f>'PAX PRO TL'!J49</f>
        <v>sep</v>
      </c>
      <c r="Z156" s="205">
        <f>'PAX PRO TL'!K49</f>
        <v>7493</v>
      </c>
      <c r="AA156" s="205">
        <f>'PAX PRO TL'!L49</f>
        <v>6974</v>
      </c>
      <c r="AB156" s="205">
        <f>'PAX PRO TL'!M49</f>
        <v>6828</v>
      </c>
      <c r="AC156" s="205">
        <f>'PAX PRO TL'!N49</f>
        <v>7332</v>
      </c>
      <c r="AE156" s="155"/>
      <c r="AF156" s="171" t="s">
        <v>44</v>
      </c>
      <c r="AG156" s="205">
        <f t="shared" si="1"/>
        <v>-272311</v>
      </c>
      <c r="AH156" s="205">
        <f t="shared" si="0"/>
        <v>-286668</v>
      </c>
      <c r="AI156" s="205">
        <f t="shared" si="0"/>
        <v>-327054</v>
      </c>
      <c r="AJ156" s="205">
        <f t="shared" si="0"/>
        <v>-322382.33333333326</v>
      </c>
    </row>
    <row r="157" spans="1:44" x14ac:dyDescent="0.25">
      <c r="A157" s="171" t="str">
        <f>'PAX AJA TL+NI'!J50</f>
        <v>oct</v>
      </c>
      <c r="B157" s="205">
        <f>'PAX AJA TL+NI'!K50</f>
        <v>-98008</v>
      </c>
      <c r="C157" s="205">
        <f>'PAX AJA TL+NI'!L50</f>
        <v>-95945</v>
      </c>
      <c r="D157" s="205">
        <f>'PAX AJA TL+NI'!M50</f>
        <v>-117250</v>
      </c>
      <c r="E157" s="205">
        <f>'PAX AJA TL+NI'!N50</f>
        <v>-112079.66666666666</v>
      </c>
      <c r="G157" s="171" t="str">
        <f>'PAX BAS TL+NI'!J50</f>
        <v>oct</v>
      </c>
      <c r="H157" s="205">
        <f>'PAX BAS TL+NI'!K50</f>
        <v>-98449</v>
      </c>
      <c r="I157" s="205">
        <f>'PAX BAS TL+NI'!L50</f>
        <v>-118232</v>
      </c>
      <c r="J157" s="205">
        <f>'PAX BAS TL+NI'!M50</f>
        <v>-100943</v>
      </c>
      <c r="K157" s="205">
        <f>'PAX BAS TL+NI'!N50</f>
        <v>-128552.66666666666</v>
      </c>
      <c r="M157" s="171" t="str">
        <f>'PAX ILR TL+NI'!J50</f>
        <v>oct</v>
      </c>
      <c r="N157" s="205">
        <f>'PAX ILR TL+NI'!K50</f>
        <v>-2132</v>
      </c>
      <c r="O157" s="205">
        <f>'PAX ILR TL+NI'!L50</f>
        <v>2375</v>
      </c>
      <c r="P157" s="205">
        <f>'PAX ILR TL+NI'!M50</f>
        <v>-4670</v>
      </c>
      <c r="Q157" s="205">
        <f>'PAX ILR TL+NI'!N50</f>
        <v>-4854.6666666666679</v>
      </c>
      <c r="S157" s="171" t="str">
        <f>'PAX PVE TL+NI'!J50</f>
        <v>oct</v>
      </c>
      <c r="T157" s="205">
        <f>'PAX PVE TL+NI'!K50</f>
        <v>6593</v>
      </c>
      <c r="U157" s="205">
        <f>'PAX PVE TL+NI'!L50</f>
        <v>6916</v>
      </c>
      <c r="V157" s="205">
        <f>'PAX PVE TL+NI'!M50</f>
        <v>-27335</v>
      </c>
      <c r="W157" s="205">
        <f>'PAX PVE TL+NI'!N50</f>
        <v>1039</v>
      </c>
      <c r="Y157" s="171" t="str">
        <f>'PAX PRO TL'!J50</f>
        <v>oct</v>
      </c>
      <c r="Z157" s="205">
        <f>'PAX PRO TL'!K50</f>
        <v>5439</v>
      </c>
      <c r="AA157" s="205">
        <f>'PAX PRO TL'!L50</f>
        <v>5344</v>
      </c>
      <c r="AB157" s="205">
        <f>'PAX PRO TL'!M50</f>
        <v>5199</v>
      </c>
      <c r="AC157" s="205">
        <f>'PAX PRO TL'!N50</f>
        <v>5293</v>
      </c>
      <c r="AE157" s="155"/>
      <c r="AF157" s="171" t="s">
        <v>45</v>
      </c>
      <c r="AG157" s="205">
        <f t="shared" si="1"/>
        <v>-186557</v>
      </c>
      <c r="AH157" s="205">
        <f t="shared" si="0"/>
        <v>-199542</v>
      </c>
      <c r="AI157" s="205">
        <f t="shared" si="0"/>
        <v>-244999</v>
      </c>
      <c r="AJ157" s="205">
        <f t="shared" si="0"/>
        <v>-239154.99999999997</v>
      </c>
    </row>
    <row r="158" spans="1:44" x14ac:dyDescent="0.25">
      <c r="A158" s="171" t="str">
        <f>'PAX AJA TL+NI'!J51</f>
        <v>nov</v>
      </c>
      <c r="B158" s="205">
        <f>'PAX AJA TL+NI'!K51</f>
        <v>-105093</v>
      </c>
      <c r="C158" s="205">
        <f>'PAX AJA TL+NI'!L51</f>
        <v>-111098</v>
      </c>
      <c r="D158" s="205">
        <f>'PAX AJA TL+NI'!M51</f>
        <v>-116789</v>
      </c>
      <c r="E158" s="207">
        <f>SUM(E148:E157)*F158</f>
        <v>-111406.13351010504</v>
      </c>
      <c r="F158" s="123">
        <f>D158/SUM(D148:D157)</f>
        <v>9.344443173153319E-2</v>
      </c>
      <c r="G158" s="171" t="str">
        <f>'PAX BAS TL+NI'!J51</f>
        <v>nov</v>
      </c>
      <c r="H158" s="205">
        <f>'PAX BAS TL+NI'!K51</f>
        <v>-115094</v>
      </c>
      <c r="I158" s="205">
        <f>'PAX BAS TL+NI'!L51</f>
        <v>-128695</v>
      </c>
      <c r="J158" s="205">
        <f>'PAX BAS TL+NI'!M51</f>
        <v>-141024</v>
      </c>
      <c r="K158" s="207">
        <f>SUM(K148:K157)*L158</f>
        <v>-128767.6295412231</v>
      </c>
      <c r="L158" s="123">
        <f>J158/SUM(J148:J157)</f>
        <v>0.10200636237777594</v>
      </c>
      <c r="M158" s="171" t="str">
        <f>'PAX ILR TL+NI'!J51</f>
        <v>nov</v>
      </c>
      <c r="N158" s="205">
        <f>'PAX ILR TL+NI'!K51</f>
        <v>-9042</v>
      </c>
      <c r="O158" s="205">
        <f>'PAX ILR TL+NI'!L51</f>
        <v>-6903</v>
      </c>
      <c r="P158" s="205">
        <f>'PAX ILR TL+NI'!M51</f>
        <v>-16907</v>
      </c>
      <c r="Q158" s="207">
        <f>SUM(Q148:Q157)*R158</f>
        <v>-22280.407081924575</v>
      </c>
      <c r="R158" s="123">
        <f>P158/SUM(P148:P157)</f>
        <v>5.5336809271787621E-2</v>
      </c>
      <c r="S158" s="171" t="str">
        <f>'PAX PVE TL+NI'!J51</f>
        <v>nov</v>
      </c>
      <c r="T158" s="205">
        <f>'PAX PVE TL+NI'!K51</f>
        <v>2674</v>
      </c>
      <c r="U158" s="205">
        <f>'PAX PVE TL+NI'!L51</f>
        <v>2345</v>
      </c>
      <c r="V158" s="205">
        <f>'PAX PVE TL+NI'!M51</f>
        <v>-7959</v>
      </c>
      <c r="W158" s="207">
        <f>SUM(W148:W157)*X158</f>
        <v>825.08838077687801</v>
      </c>
      <c r="X158" s="123">
        <f>U158/SUM(U148:U157)</f>
        <v>2.8429756073905244E-2</v>
      </c>
      <c r="Y158" s="171" t="str">
        <f>'PAX PRO TL'!J51</f>
        <v>nov</v>
      </c>
      <c r="Z158" s="205">
        <f>'PAX PRO TL'!K51</f>
        <v>2645</v>
      </c>
      <c r="AA158" s="205">
        <f>'PAX PRO TL'!L51</f>
        <v>1991</v>
      </c>
      <c r="AB158" s="205">
        <f>'PAX PRO TL'!M51</f>
        <v>2311</v>
      </c>
      <c r="AC158" s="207">
        <f>SUM(AC148:AC157)*AD158</f>
        <v>2263.9148956911681</v>
      </c>
      <c r="AD158" s="123">
        <f>AB158/SUM(AB148:AB157)</f>
        <v>3.7547930070839022E-2</v>
      </c>
      <c r="AE158" s="155"/>
      <c r="AF158" s="171" t="s">
        <v>46</v>
      </c>
      <c r="AG158" s="205">
        <f t="shared" si="1"/>
        <v>-223910</v>
      </c>
      <c r="AH158" s="205">
        <f t="shared" si="0"/>
        <v>-242360</v>
      </c>
      <c r="AI158" s="205">
        <f t="shared" si="0"/>
        <v>-280368</v>
      </c>
      <c r="AJ158" s="205">
        <f t="shared" si="0"/>
        <v>-259365.16685678464</v>
      </c>
    </row>
    <row r="159" spans="1:44" x14ac:dyDescent="0.25">
      <c r="A159" s="171" t="str">
        <f>'PAX AJA TL+NI'!J52</f>
        <v>déc</v>
      </c>
      <c r="B159" s="205">
        <f>'PAX AJA TL+NI'!K52</f>
        <v>-97444</v>
      </c>
      <c r="C159" s="205">
        <f>'PAX AJA TL+NI'!L52</f>
        <v>-125415</v>
      </c>
      <c r="D159" s="205">
        <f>'PAX AJA TL+NI'!M52</f>
        <v>-110971</v>
      </c>
      <c r="E159" s="207">
        <f>SUM(E148:E157)*F159</f>
        <v>-105856.28819280809</v>
      </c>
      <c r="F159" s="123">
        <f>D159/SUM(D148:D157)</f>
        <v>8.8789372575156636E-2</v>
      </c>
      <c r="G159" s="171" t="str">
        <f>'PAX BAS TL+NI'!J52</f>
        <v>déc</v>
      </c>
      <c r="H159" s="205">
        <f>'PAX BAS TL+NI'!K52</f>
        <v>-110877</v>
      </c>
      <c r="I159" s="205">
        <f>'PAX BAS TL+NI'!L52</f>
        <v>-120834</v>
      </c>
      <c r="J159" s="205">
        <f>'PAX BAS TL+NI'!M52</f>
        <v>-141972</v>
      </c>
      <c r="K159" s="207">
        <f>SUM(K148:K157)*L159</f>
        <v>-129633.2390318423</v>
      </c>
      <c r="L159" s="123">
        <f>J159/SUM(J148:J157)</f>
        <v>0.10269207567149993</v>
      </c>
      <c r="M159" s="171" t="str">
        <f>'PAX ILR TL+NI'!J52</f>
        <v>déc</v>
      </c>
      <c r="N159" s="205">
        <f>'PAX ILR TL+NI'!K52</f>
        <v>-2334</v>
      </c>
      <c r="O159" s="205">
        <f>'PAX ILR TL+NI'!L52</f>
        <v>-9523</v>
      </c>
      <c r="P159" s="205">
        <f>'PAX ILR TL+NI'!M52</f>
        <v>-13015</v>
      </c>
      <c r="Q159" s="207">
        <f>SUM(Q148:Q157)*R159</f>
        <v>-17151.446038401155</v>
      </c>
      <c r="R159" s="123">
        <f>P159/SUM(P148:P157)</f>
        <v>4.2598247629521253E-2</v>
      </c>
      <c r="S159" s="171" t="str">
        <f>'PAX PVE TL+NI'!J52</f>
        <v>déc</v>
      </c>
      <c r="T159" s="205">
        <f>'PAX PVE TL+NI'!K52</f>
        <v>3072</v>
      </c>
      <c r="U159" s="205">
        <f>'PAX PVE TL+NI'!L52</f>
        <v>3466</v>
      </c>
      <c r="V159" s="205">
        <f>'PAX PVE TL+NI'!M52</f>
        <v>-24352</v>
      </c>
      <c r="W159" s="207">
        <f>SUM(W148:W157)*X159</f>
        <v>1219.7636872930991</v>
      </c>
      <c r="X159" s="123">
        <f>U159/SUM(U149:U158)</f>
        <v>4.2028932785235305E-2</v>
      </c>
      <c r="Y159" s="171" t="str">
        <f>'PAX PRO TL'!J52</f>
        <v>déc</v>
      </c>
      <c r="Z159" s="205">
        <f>'PAX PRO TL'!K52</f>
        <v>2841</v>
      </c>
      <c r="AA159" s="205">
        <f>'PAX PRO TL'!L52</f>
        <v>2848</v>
      </c>
      <c r="AB159" s="205">
        <f>'PAX PRO TL'!M52</f>
        <v>3087</v>
      </c>
      <c r="AC159" s="207">
        <f>SUM(AC148:AC157)*AD159</f>
        <v>3024.1044063170207</v>
      </c>
      <c r="AD159" s="123">
        <f>AB159/SUM(AB148:AB157)</f>
        <v>5.0155975823747319E-2</v>
      </c>
      <c r="AE159" s="155"/>
      <c r="AF159" s="171" t="s">
        <v>47</v>
      </c>
      <c r="AG159" s="205">
        <f t="shared" si="1"/>
        <v>-204742</v>
      </c>
      <c r="AH159" s="205">
        <f t="shared" si="0"/>
        <v>-249458</v>
      </c>
      <c r="AI159" s="205">
        <f t="shared" si="0"/>
        <v>-287223</v>
      </c>
      <c r="AJ159" s="205">
        <f t="shared" si="0"/>
        <v>-248397.10516944141</v>
      </c>
    </row>
    <row r="160" spans="1:44" s="182" customFormat="1" x14ac:dyDescent="0.25">
      <c r="A160" s="171" t="str">
        <f>'PAX AJA TL+NI'!J53</f>
        <v>TOTAL</v>
      </c>
      <c r="B160" s="206">
        <f>'PAX AJA TL+NI'!K53</f>
        <v>-1438851</v>
      </c>
      <c r="C160" s="206">
        <f>'PAX AJA TL+NI'!L53</f>
        <v>-1358271</v>
      </c>
      <c r="D160" s="206">
        <f>'PAX AJA TL+NI'!M53</f>
        <v>-1477583</v>
      </c>
      <c r="E160" s="206">
        <f>SUM(E147:E159)</f>
        <v>-1407463.4217029132</v>
      </c>
      <c r="G160" s="171" t="str">
        <f>'PAX BAS TL+NI'!J53</f>
        <v>TOTAL</v>
      </c>
      <c r="H160" s="206">
        <f>'PAX BAS TL+NI'!K53</f>
        <v>-1234507</v>
      </c>
      <c r="I160" s="206">
        <f>'PAX BAS TL+NI'!L53</f>
        <v>-1332373</v>
      </c>
      <c r="J160" s="206">
        <f>'PAX BAS TL+NI'!M53</f>
        <v>-1665498</v>
      </c>
      <c r="K160" s="206">
        <f>SUM(K147:K159)</f>
        <v>-1518732.8685730656</v>
      </c>
      <c r="M160" s="171" t="str">
        <f>'PAX ILR TL+NI'!J53</f>
        <v>TOTAL</v>
      </c>
      <c r="N160" s="206">
        <f>'PAX ILR TL+NI'!K53</f>
        <v>-434036</v>
      </c>
      <c r="O160" s="206">
        <f>'PAX ILR TL+NI'!L53</f>
        <v>-370018</v>
      </c>
      <c r="P160" s="206">
        <f>'PAX ILR TL+NI'!M53</f>
        <v>-335451</v>
      </c>
      <c r="Q160" s="206">
        <f>SUM(Q147:Q159)</f>
        <v>-440047.5197869924</v>
      </c>
      <c r="S160" s="171" t="str">
        <f>'PAX PVE TL+NI'!J53</f>
        <v>TOTAL</v>
      </c>
      <c r="T160" s="206">
        <f>'PAX PVE TL+NI'!K53</f>
        <v>100307</v>
      </c>
      <c r="U160" s="206">
        <f>'PAX PVE TL+NI'!L53</f>
        <v>88295</v>
      </c>
      <c r="V160" s="206">
        <f>'PAX PVE TL+NI'!M53</f>
        <v>-32481</v>
      </c>
      <c r="W160" s="206">
        <f>SUM(W147:W159)</f>
        <v>33083.852068069973</v>
      </c>
      <c r="Y160" s="171" t="str">
        <f>'PAX PRO TL'!J53</f>
        <v>TOTAL</v>
      </c>
      <c r="Z160" s="206">
        <f>'PAX PRO TL'!K53</f>
        <v>75699</v>
      </c>
      <c r="AA160" s="206">
        <f>'PAX PRO TL'!L53</f>
        <v>79090</v>
      </c>
      <c r="AB160" s="206">
        <f>'PAX PRO TL'!M53</f>
        <v>66946</v>
      </c>
      <c r="AC160" s="206">
        <f>SUM(AC147:AC159)</f>
        <v>67599.019302008193</v>
      </c>
      <c r="AE160" s="208"/>
      <c r="AF160" s="171" t="s">
        <v>234</v>
      </c>
      <c r="AG160" s="206">
        <f>SUM(AG148:AG159)</f>
        <v>-2931388</v>
      </c>
      <c r="AH160" s="206">
        <f t="shared" ref="AH160:AJ160" si="2">SUM(AH148:AH159)</f>
        <v>-2893277</v>
      </c>
      <c r="AI160" s="206">
        <f t="shared" si="2"/>
        <v>-3444067</v>
      </c>
      <c r="AJ160" s="206">
        <f t="shared" si="2"/>
        <v>-3275645.9386928934</v>
      </c>
    </row>
    <row r="161" spans="1:36" x14ac:dyDescent="0.25">
      <c r="AE161" s="155"/>
    </row>
    <row r="162" spans="1:36" x14ac:dyDescent="0.25">
      <c r="A162" s="193" t="str">
        <f>'ROLL+VL AJA TL+NI '!AC56</f>
        <v>BESOIN SERVICE PUBLIC VL  AJACIO</v>
      </c>
      <c r="B162" s="194"/>
      <c r="C162" s="194"/>
      <c r="D162" s="194"/>
      <c r="E162" s="195"/>
      <c r="G162" s="193" t="str">
        <f>'ROLL+VL BAS TL+NI'!AC56</f>
        <v>BESOIN SERVICE PUBLIC VL BASTIA</v>
      </c>
      <c r="H162" s="194"/>
      <c r="I162" s="194"/>
      <c r="J162" s="194"/>
      <c r="K162" s="195"/>
      <c r="M162" s="193" t="str">
        <f>'ROLL+VL ILR TL+NI'!AC56</f>
        <v>BESOIN SERVICE PUBLIC VL ILE ROUSSE</v>
      </c>
      <c r="N162" s="194"/>
      <c r="O162" s="194"/>
      <c r="P162" s="194"/>
      <c r="Q162" s="195"/>
      <c r="S162" s="193" t="str">
        <f>'ROLL+VL PVE TL+NI '!AC56</f>
        <v>BESOIN SERVICE PUBLIC VL TOULON+NICE - PORTO VECCHIO (2014-2017)</v>
      </c>
      <c r="T162" s="194"/>
      <c r="U162" s="194"/>
      <c r="V162" s="194"/>
      <c r="W162" s="195"/>
      <c r="Y162" s="193" t="str">
        <f>'ROLL PRO TL+NI'!AC56</f>
        <v xml:space="preserve">BESOIN SERVICE PUBLIC VL PROPRIANO </v>
      </c>
      <c r="Z162" s="194"/>
      <c r="AA162" s="194"/>
      <c r="AB162" s="194"/>
      <c r="AC162" s="195"/>
      <c r="AE162" s="155"/>
      <c r="AF162" s="193" t="s">
        <v>237</v>
      </c>
      <c r="AG162" s="194"/>
      <c r="AH162" s="194"/>
      <c r="AI162" s="194"/>
      <c r="AJ162" s="195"/>
    </row>
    <row r="163" spans="1:36" x14ac:dyDescent="0.25">
      <c r="A163" s="118"/>
      <c r="B163" s="183">
        <f>'ROLL+VL AJA TL+NI '!AD57</f>
        <v>2014</v>
      </c>
      <c r="C163" s="183">
        <f>'ROLL+VL AJA TL+NI '!AE57</f>
        <v>2015</v>
      </c>
      <c r="D163" s="183">
        <f>'ROLL+VL AJA TL+NI '!AF57</f>
        <v>2016</v>
      </c>
      <c r="E163" s="183">
        <f>'ROLL+VL AJA TL+NI '!AG57</f>
        <v>2017</v>
      </c>
      <c r="G163" s="118"/>
      <c r="H163" s="183">
        <f>'ROLL+VL BAS TL+NI'!AD57</f>
        <v>2014</v>
      </c>
      <c r="I163" s="183">
        <f>'ROLL+VL BAS TL+NI'!AE57</f>
        <v>2015</v>
      </c>
      <c r="J163" s="183">
        <f>'ROLL+VL BAS TL+NI'!AF57</f>
        <v>2016</v>
      </c>
      <c r="K163" s="183">
        <f>'ROLL+VL BAS TL+NI'!AG57</f>
        <v>2017</v>
      </c>
      <c r="M163" s="118"/>
      <c r="N163" s="183">
        <f>'ROLL+VL ILR TL+NI'!AD57</f>
        <v>2014</v>
      </c>
      <c r="O163" s="183">
        <f>'ROLL+VL ILR TL+NI'!AE57</f>
        <v>2015</v>
      </c>
      <c r="P163" s="183">
        <f>'ROLL+VL ILR TL+NI'!AF57</f>
        <v>2016</v>
      </c>
      <c r="Q163" s="183">
        <f>'ROLL+VL ILR TL+NI'!AG57</f>
        <v>2017</v>
      </c>
      <c r="S163" s="118"/>
      <c r="T163" s="183">
        <f>'ROLL+VL PVE TL+NI '!AD57</f>
        <v>2014</v>
      </c>
      <c r="U163" s="183">
        <f>'ROLL+VL PVE TL+NI '!AE57</f>
        <v>2015</v>
      </c>
      <c r="V163" s="183">
        <f>'ROLL+VL PVE TL+NI '!AF57</f>
        <v>2016</v>
      </c>
      <c r="W163" s="183">
        <f>'ROLL+VL PVE TL+NI '!AG57</f>
        <v>2017</v>
      </c>
      <c r="Y163" s="118"/>
      <c r="Z163" s="171">
        <f>'ROLL PRO TL+NI'!AD57</f>
        <v>2014</v>
      </c>
      <c r="AA163" s="171">
        <f>'ROLL PRO TL+NI'!AE57</f>
        <v>2015</v>
      </c>
      <c r="AB163" s="171">
        <f>'ROLL PRO TL+NI'!AF57</f>
        <v>2016</v>
      </c>
      <c r="AC163" s="171">
        <f>'ROLL PRO TL+NI'!AG57</f>
        <v>2017</v>
      </c>
      <c r="AE163" s="155"/>
      <c r="AF163" s="118"/>
      <c r="AG163" s="183">
        <v>2014</v>
      </c>
      <c r="AH163" s="183">
        <v>2015</v>
      </c>
      <c r="AI163" s="183">
        <v>2016</v>
      </c>
      <c r="AJ163" s="183">
        <v>2017</v>
      </c>
    </row>
    <row r="164" spans="1:36" x14ac:dyDescent="0.25">
      <c r="A164" s="171" t="str">
        <f>'ROLL+VL AJA TL+NI '!AC58</f>
        <v>jan</v>
      </c>
      <c r="B164" s="205">
        <f>'ROLL+VL AJA TL+NI '!AD58</f>
        <v>-15494.999999999993</v>
      </c>
      <c r="C164" s="205">
        <f>'ROLL+VL AJA TL+NI '!AE58</f>
        <v>1691.8000000000029</v>
      </c>
      <c r="D164" s="205">
        <f>'ROLL+VL AJA TL+NI '!AF58</f>
        <v>-11583.479999999996</v>
      </c>
      <c r="E164" s="205">
        <f>'ROLL+VL AJA TL+NI '!AG58</f>
        <v>-11367.479999999996</v>
      </c>
      <c r="G164" s="171" t="str">
        <f>'ROLL+VL BAS TL+NI'!AC58</f>
        <v>jan</v>
      </c>
      <c r="H164" s="205">
        <f>'ROLL+VL BAS TL+NI'!AD58</f>
        <v>-12215.720000000001</v>
      </c>
      <c r="I164" s="205">
        <f>'ROLL+VL BAS TL+NI'!AE58</f>
        <v>-11907.199999999997</v>
      </c>
      <c r="J164" s="205">
        <f>'ROLL+VL BAS TL+NI'!AF58</f>
        <v>-22507.039999999994</v>
      </c>
      <c r="K164" s="205">
        <f>'ROLL+VL BAS TL+NI'!AG58</f>
        <v>-14752.800000000003</v>
      </c>
      <c r="M164" s="171" t="str">
        <f>'ROLL+VL ILR TL+NI'!AC58</f>
        <v>jan</v>
      </c>
      <c r="N164" s="205">
        <f>'ROLL+VL ILR TL+NI'!AD58</f>
        <v>-1179</v>
      </c>
      <c r="O164" s="205">
        <f>'ROLL+VL ILR TL+NI'!AE58</f>
        <v>-1275.56</v>
      </c>
      <c r="P164" s="205">
        <f>'ROLL+VL ILR TL+NI'!AF58</f>
        <v>-10194</v>
      </c>
      <c r="Q164" s="205">
        <f>'ROLL+VL ILR TL+NI'!AG58</f>
        <v>-3026.5599999999995</v>
      </c>
      <c r="S164" s="171" t="str">
        <f>'ROLL+VL PVE TL+NI '!AC58</f>
        <v>jan</v>
      </c>
      <c r="T164" s="205">
        <f>'ROLL+VL PVE TL+NI '!AD58</f>
        <v>1713</v>
      </c>
      <c r="U164" s="205">
        <f>'ROLL+VL PVE TL+NI '!AE58</f>
        <v>2943</v>
      </c>
      <c r="V164" s="205">
        <f>'ROLL+VL PVE TL+NI '!AF58</f>
        <v>2235</v>
      </c>
      <c r="W164" s="205">
        <f>'ROLL+VL PVE TL+NI '!AG58</f>
        <v>6099</v>
      </c>
      <c r="Y164" s="171" t="str">
        <f>'ROLL PRO TL+NI'!AC58</f>
        <v>jan</v>
      </c>
      <c r="Z164" s="205">
        <f>'ROLL PRO TL+NI'!AD58</f>
        <v>472</v>
      </c>
      <c r="AA164" s="205">
        <f>'ROLL PRO TL+NI'!AE58</f>
        <v>810</v>
      </c>
      <c r="AB164" s="205">
        <f>'ROLL PRO TL+NI'!AF58</f>
        <v>774</v>
      </c>
      <c r="AC164" s="205">
        <f>'ROLL PRO TL+NI'!AG58</f>
        <v>814</v>
      </c>
      <c r="AE164" s="155"/>
      <c r="AF164" s="171" t="s">
        <v>36</v>
      </c>
      <c r="AG164" s="205">
        <f>B164+H164+N164+T164+Z164</f>
        <v>-26704.719999999994</v>
      </c>
      <c r="AH164" s="205">
        <f t="shared" ref="AH164:AH175" si="3">C164+I164+O164+U164+AA164</f>
        <v>-7737.9599999999937</v>
      </c>
      <c r="AI164" s="205">
        <f t="shared" ref="AI164:AI175" si="4">D164+J164+P164+V164+AB164</f>
        <v>-41275.51999999999</v>
      </c>
      <c r="AJ164" s="205">
        <f t="shared" ref="AJ164:AJ175" si="5">E164+K164+Q164+W164+AC164</f>
        <v>-22233.839999999997</v>
      </c>
    </row>
    <row r="165" spans="1:36" x14ac:dyDescent="0.25">
      <c r="A165" s="171" t="str">
        <f>'ROLL+VL AJA TL+NI '!AC59</f>
        <v>fév</v>
      </c>
      <c r="B165" s="205">
        <f>'ROLL+VL AJA TL+NI '!AD59</f>
        <v>-11985.679999999993</v>
      </c>
      <c r="C165" s="205">
        <f>'ROLL+VL AJA TL+NI '!AE59</f>
        <v>332.04000000000087</v>
      </c>
      <c r="D165" s="205">
        <f>'ROLL+VL AJA TL+NI '!AF59</f>
        <v>-1850.3600000000006</v>
      </c>
      <c r="E165" s="205">
        <f>'ROLL+VL AJA TL+NI '!AG59</f>
        <v>99.319999999999709</v>
      </c>
      <c r="G165" s="171" t="str">
        <f>'ROLL+VL BAS TL+NI'!AC59</f>
        <v>fév</v>
      </c>
      <c r="H165" s="205">
        <f>'ROLL+VL BAS TL+NI'!AD59</f>
        <v>-10388.080000000002</v>
      </c>
      <c r="I165" s="205">
        <f>'ROLL+VL BAS TL+NI'!AE59</f>
        <v>-7927.239999999998</v>
      </c>
      <c r="J165" s="205">
        <f>'ROLL+VL BAS TL+NI'!AF59</f>
        <v>-7916.9199999999983</v>
      </c>
      <c r="K165" s="205">
        <f>'ROLL+VL BAS TL+NI'!AG59</f>
        <v>-8842.239999999998</v>
      </c>
      <c r="M165" s="171" t="str">
        <f>'ROLL+VL ILR TL+NI'!AC59</f>
        <v>fév</v>
      </c>
      <c r="N165" s="205">
        <f>'ROLL+VL ILR TL+NI'!AD59</f>
        <v>-4578.5599999999995</v>
      </c>
      <c r="O165" s="205">
        <f>'ROLL+VL ILR TL+NI'!AE59</f>
        <v>-3119.24</v>
      </c>
      <c r="P165" s="205">
        <f>'ROLL+VL ILR TL+NI'!AF59</f>
        <v>-954</v>
      </c>
      <c r="Q165" s="205">
        <f>'ROLL+VL ILR TL+NI'!AG59</f>
        <v>-1328.5599999999995</v>
      </c>
      <c r="S165" s="171" t="str">
        <f>'ROLL+VL PVE TL+NI '!AC59</f>
        <v>fév</v>
      </c>
      <c r="T165" s="205">
        <f>'ROLL+VL PVE TL+NI '!AD59</f>
        <v>2768.44</v>
      </c>
      <c r="U165" s="205">
        <f>'ROLL+VL PVE TL+NI '!AE59</f>
        <v>3087</v>
      </c>
      <c r="V165" s="205">
        <f>'ROLL+VL PVE TL+NI '!AF59</f>
        <v>3450</v>
      </c>
      <c r="W165" s="205">
        <f>'ROLL+VL PVE TL+NI '!AG59</f>
        <v>7422</v>
      </c>
      <c r="Y165" s="171" t="str">
        <f>'ROLL PRO TL+NI'!AC59</f>
        <v>fév</v>
      </c>
      <c r="Z165" s="205">
        <f>'ROLL PRO TL+NI'!AD59</f>
        <v>793</v>
      </c>
      <c r="AA165" s="205">
        <f>'ROLL PRO TL+NI'!AE59</f>
        <v>789</v>
      </c>
      <c r="AB165" s="205">
        <f>'ROLL PRO TL+NI'!AF59</f>
        <v>849</v>
      </c>
      <c r="AC165" s="205">
        <f>'ROLL PRO TL+NI'!AG59</f>
        <v>735</v>
      </c>
      <c r="AE165" s="155"/>
      <c r="AF165" s="171" t="s">
        <v>37</v>
      </c>
      <c r="AG165" s="205">
        <f t="shared" ref="AG165:AG175" si="6">B165+H165+N165+T165+Z165</f>
        <v>-23390.879999999994</v>
      </c>
      <c r="AH165" s="205">
        <f t="shared" si="3"/>
        <v>-6838.4399999999969</v>
      </c>
      <c r="AI165" s="205">
        <f t="shared" si="4"/>
        <v>-6422.2799999999988</v>
      </c>
      <c r="AJ165" s="205">
        <f t="shared" si="5"/>
        <v>-1914.4799999999977</v>
      </c>
    </row>
    <row r="166" spans="1:36" x14ac:dyDescent="0.25">
      <c r="A166" s="171" t="str">
        <f>'ROLL+VL AJA TL+NI '!AC60</f>
        <v>mar</v>
      </c>
      <c r="B166" s="205">
        <f>'ROLL+VL AJA TL+NI '!AD60</f>
        <v>-8450.36</v>
      </c>
      <c r="C166" s="205">
        <f>'ROLL+VL AJA TL+NI '!AE60</f>
        <v>6822.6400000000031</v>
      </c>
      <c r="D166" s="205">
        <f>'ROLL+VL AJA TL+NI '!AF60</f>
        <v>-1410.4799999999959</v>
      </c>
      <c r="E166" s="205">
        <f>'ROLL+VL AJA TL+NI '!AG60</f>
        <v>36878.639999999999</v>
      </c>
      <c r="G166" s="171" t="str">
        <f>'ROLL+VL BAS TL+NI'!AC60</f>
        <v>mar</v>
      </c>
      <c r="H166" s="205">
        <f>'ROLL+VL BAS TL+NI'!AD60</f>
        <v>-2940.7599999999948</v>
      </c>
      <c r="I166" s="205">
        <f>'ROLL+VL BAS TL+NI'!AE60</f>
        <v>-4295.9199999999983</v>
      </c>
      <c r="J166" s="205">
        <f>'ROLL+VL BAS TL+NI'!AF60</f>
        <v>-9344.9199999999983</v>
      </c>
      <c r="K166" s="205">
        <f>'ROLL+VL BAS TL+NI'!AG60</f>
        <v>-8016.4799999999959</v>
      </c>
      <c r="M166" s="171" t="str">
        <f>'ROLL+VL ILR TL+NI'!AC60</f>
        <v>mar</v>
      </c>
      <c r="N166" s="205">
        <f>'ROLL+VL ILR TL+NI'!AD60</f>
        <v>930</v>
      </c>
      <c r="O166" s="205">
        <f>'ROLL+VL ILR TL+NI'!AE60</f>
        <v>190.88000000000011</v>
      </c>
      <c r="P166" s="205">
        <f>'ROLL+VL ILR TL+NI'!AF60</f>
        <v>-2430</v>
      </c>
      <c r="Q166" s="205">
        <f>'ROLL+VL ILR TL+NI'!AG60</f>
        <v>995</v>
      </c>
      <c r="S166" s="171" t="str">
        <f>'ROLL+VL PVE TL+NI '!AC60</f>
        <v>mar</v>
      </c>
      <c r="T166" s="205">
        <f>'ROLL+VL PVE TL+NI '!AD60</f>
        <v>4644</v>
      </c>
      <c r="U166" s="205">
        <f>'ROLL+VL PVE TL+NI '!AE60</f>
        <v>3834</v>
      </c>
      <c r="V166" s="205">
        <f>'ROLL+VL PVE TL+NI '!AF60</f>
        <v>3696</v>
      </c>
      <c r="W166" s="205">
        <f>'ROLL+VL PVE TL+NI '!AG60</f>
        <v>7638</v>
      </c>
      <c r="Y166" s="171" t="str">
        <f>'ROLL PRO TL+NI'!AC60</f>
        <v>mar</v>
      </c>
      <c r="Z166" s="205">
        <f>'ROLL PRO TL+NI'!AD60</f>
        <v>1077</v>
      </c>
      <c r="AA166" s="205">
        <f>'ROLL PRO TL+NI'!AE60</f>
        <v>1034</v>
      </c>
      <c r="AB166" s="205">
        <f>'ROLL PRO TL+NI'!AF60</f>
        <v>1084</v>
      </c>
      <c r="AC166" s="205">
        <f>'ROLL PRO TL+NI'!AG60</f>
        <v>478</v>
      </c>
      <c r="AE166" s="155"/>
      <c r="AF166" s="171" t="s">
        <v>38</v>
      </c>
      <c r="AG166" s="205">
        <f t="shared" si="6"/>
        <v>-4740.1199999999953</v>
      </c>
      <c r="AH166" s="205">
        <f t="shared" si="3"/>
        <v>7585.6000000000049</v>
      </c>
      <c r="AI166" s="205">
        <f t="shared" si="4"/>
        <v>-8405.3999999999942</v>
      </c>
      <c r="AJ166" s="205">
        <f t="shared" si="5"/>
        <v>37973.160000000003</v>
      </c>
    </row>
    <row r="167" spans="1:36" x14ac:dyDescent="0.25">
      <c r="A167" s="171" t="str">
        <f>'ROLL+VL AJA TL+NI '!AC61</f>
        <v>avr</v>
      </c>
      <c r="B167" s="205">
        <f>'ROLL+VL AJA TL+NI '!AD61</f>
        <v>-31924.079999999987</v>
      </c>
      <c r="C167" s="205">
        <f>'ROLL+VL AJA TL+NI '!AE61</f>
        <v>-24007.760000000009</v>
      </c>
      <c r="D167" s="205">
        <f>'ROLL+VL AJA TL+NI '!AF61</f>
        <v>-39209.279999999984</v>
      </c>
      <c r="E167" s="205">
        <f>'ROLL+VL AJA TL+NI '!AG61</f>
        <v>-4534.839999999982</v>
      </c>
      <c r="G167" s="171" t="str">
        <f>'ROLL+VL BAS TL+NI'!AC61</f>
        <v>avr</v>
      </c>
      <c r="H167" s="205">
        <f>'ROLL+VL BAS TL+NI'!AD61</f>
        <v>-25798.119999999995</v>
      </c>
      <c r="I167" s="205">
        <f>'ROLL+VL BAS TL+NI'!AE61</f>
        <v>-37584.160000000003</v>
      </c>
      <c r="J167" s="205">
        <f>'ROLL+VL BAS TL+NI'!AF61</f>
        <v>-47863.51999999999</v>
      </c>
      <c r="K167" s="205">
        <f>'ROLL+VL BAS TL+NI'!AG61</f>
        <v>-29085.239999999991</v>
      </c>
      <c r="M167" s="171" t="str">
        <f>'ROLL+VL ILR TL+NI'!AC61</f>
        <v>avr</v>
      </c>
      <c r="N167" s="205">
        <f>'ROLL+VL ILR TL+NI'!AD61</f>
        <v>-3257.4399999999987</v>
      </c>
      <c r="O167" s="205">
        <f>'ROLL+VL ILR TL+NI'!AE61</f>
        <v>-1906.7599999999984</v>
      </c>
      <c r="P167" s="205">
        <f>'ROLL+VL ILR TL+NI'!AF61</f>
        <v>-786.23999999999796</v>
      </c>
      <c r="Q167" s="205">
        <f>'ROLL+VL ILR TL+NI'!AG61</f>
        <v>-3104.8799999999974</v>
      </c>
      <c r="S167" s="171" t="str">
        <f>'ROLL+VL PVE TL+NI '!AC61</f>
        <v>avr</v>
      </c>
      <c r="T167" s="205">
        <f>'ROLL+VL PVE TL+NI '!AD61</f>
        <v>6393</v>
      </c>
      <c r="U167" s="205">
        <f>'ROLL+VL PVE TL+NI '!AE61</f>
        <v>6399</v>
      </c>
      <c r="V167" s="205">
        <f>'ROLL+VL PVE TL+NI '!AF61</f>
        <v>5775</v>
      </c>
      <c r="W167" s="205">
        <f>'ROLL+VL PVE TL+NI '!AG61</f>
        <v>5935.920000000001</v>
      </c>
      <c r="Y167" s="171" t="str">
        <f>'ROLL PRO TL+NI'!AC61</f>
        <v>avr</v>
      </c>
      <c r="Z167" s="205">
        <f>'ROLL PRO TL+NI'!AD61</f>
        <v>1560</v>
      </c>
      <c r="AA167" s="205">
        <f>'ROLL PRO TL+NI'!AE61</f>
        <v>1949</v>
      </c>
      <c r="AB167" s="205">
        <f>'ROLL PRO TL+NI'!AF61</f>
        <v>1960</v>
      </c>
      <c r="AC167" s="205">
        <f>'ROLL PRO TL+NI'!AG61</f>
        <v>1675</v>
      </c>
      <c r="AE167" s="155"/>
      <c r="AF167" s="171" t="s">
        <v>39</v>
      </c>
      <c r="AG167" s="205">
        <f t="shared" si="6"/>
        <v>-53026.639999999985</v>
      </c>
      <c r="AH167" s="205">
        <f t="shared" si="3"/>
        <v>-55150.680000000008</v>
      </c>
      <c r="AI167" s="205">
        <f t="shared" si="4"/>
        <v>-80124.039999999979</v>
      </c>
      <c r="AJ167" s="205">
        <f t="shared" si="5"/>
        <v>-29114.039999999968</v>
      </c>
    </row>
    <row r="168" spans="1:36" x14ac:dyDescent="0.25">
      <c r="A168" s="171" t="str">
        <f>'ROLL+VL AJA TL+NI '!AC62</f>
        <v>mai</v>
      </c>
      <c r="B168" s="205">
        <f>'ROLL+VL AJA TL+NI '!AD62</f>
        <v>1614.6000000000058</v>
      </c>
      <c r="C168" s="205">
        <f>'ROLL+VL AJA TL+NI '!AE62</f>
        <v>-7399.9999999999854</v>
      </c>
      <c r="D168" s="205">
        <f>'ROLL+VL AJA TL+NI '!AF62</f>
        <v>-7147.4799999999814</v>
      </c>
      <c r="E168" s="205">
        <f>'ROLL+VL AJA TL+NI '!AG62</f>
        <v>973.80000000000291</v>
      </c>
      <c r="G168" s="171" t="str">
        <f>'ROLL+VL BAS TL+NI'!AC62</f>
        <v>mai</v>
      </c>
      <c r="H168" s="205">
        <f>'ROLL+VL BAS TL+NI'!AD62</f>
        <v>-10010.199999999997</v>
      </c>
      <c r="I168" s="205">
        <f>'ROLL+VL BAS TL+NI'!AE62</f>
        <v>-18660.28</v>
      </c>
      <c r="J168" s="205">
        <f>'ROLL+VL BAS TL+NI'!AF62</f>
        <v>-20819.599999999991</v>
      </c>
      <c r="K168" s="205">
        <f>'ROLL+VL BAS TL+NI'!AG62</f>
        <v>-23862.239999999991</v>
      </c>
      <c r="M168" s="171" t="str">
        <f>'ROLL+VL ILR TL+NI'!AC62</f>
        <v>mai</v>
      </c>
      <c r="N168" s="205">
        <f>'ROLL+VL ILR TL+NI'!AD62</f>
        <v>-2824.5999999999985</v>
      </c>
      <c r="O168" s="205">
        <f>'ROLL+VL ILR TL+NI'!AE62</f>
        <v>218.4800000000032</v>
      </c>
      <c r="P168" s="205">
        <f>'ROLL+VL ILR TL+NI'!AF62</f>
        <v>3891.84</v>
      </c>
      <c r="Q168" s="205">
        <f>'ROLL+VL ILR TL+NI'!AG62</f>
        <v>-1696.5999999999985</v>
      </c>
      <c r="S168" s="171" t="str">
        <f>'ROLL+VL PVE TL+NI '!AC62</f>
        <v>mai</v>
      </c>
      <c r="T168" s="205">
        <f>'ROLL+VL PVE TL+NI '!AD62</f>
        <v>10083</v>
      </c>
      <c r="U168" s="205">
        <f>'ROLL+VL PVE TL+NI '!AE62</f>
        <v>8544</v>
      </c>
      <c r="V168" s="205">
        <f>'ROLL+VL PVE TL+NI '!AF62</f>
        <v>9438</v>
      </c>
      <c r="W168" s="205">
        <f>'ROLL+VL PVE TL+NI '!AG62</f>
        <v>7446.2800000000007</v>
      </c>
      <c r="Y168" s="171" t="str">
        <f>'ROLL PRO TL+NI'!AC62</f>
        <v>mai</v>
      </c>
      <c r="Z168" s="205">
        <f>'ROLL PRO TL+NI'!AD62</f>
        <v>2607</v>
      </c>
      <c r="AA168" s="205">
        <f>'ROLL PRO TL+NI'!AE62</f>
        <v>2734</v>
      </c>
      <c r="AB168" s="205">
        <f>'ROLL PRO TL+NI'!AF62</f>
        <v>2153</v>
      </c>
      <c r="AC168" s="205">
        <f>'ROLL PRO TL+NI'!AG62</f>
        <v>1846</v>
      </c>
      <c r="AE168" s="155"/>
      <c r="AF168" s="171" t="s">
        <v>40</v>
      </c>
      <c r="AG168" s="205">
        <f t="shared" si="6"/>
        <v>1469.8000000000102</v>
      </c>
      <c r="AH168" s="205">
        <f t="shared" si="3"/>
        <v>-14563.799999999981</v>
      </c>
      <c r="AI168" s="205">
        <f t="shared" si="4"/>
        <v>-12484.239999999972</v>
      </c>
      <c r="AJ168" s="205">
        <f t="shared" si="5"/>
        <v>-15292.759999999987</v>
      </c>
    </row>
    <row r="169" spans="1:36" x14ac:dyDescent="0.25">
      <c r="A169" s="171" t="str">
        <f>'ROLL+VL AJA TL+NI '!AC63</f>
        <v>juin</v>
      </c>
      <c r="B169" s="205">
        <f>'ROLL+VL AJA TL+NI '!AD63</f>
        <v>-9890.5199999999895</v>
      </c>
      <c r="C169" s="205">
        <f>'ROLL+VL AJA TL+NI '!AE63</f>
        <v>-29153.919999999984</v>
      </c>
      <c r="D169" s="205">
        <f>'ROLL+VL AJA TL+NI '!AF63</f>
        <v>-23168.799999999988</v>
      </c>
      <c r="E169" s="205">
        <f>'ROLL+VL AJA TL+NI '!AG63</f>
        <v>36064.36</v>
      </c>
      <c r="G169" s="171" t="str">
        <f>'ROLL+VL BAS TL+NI'!AC63</f>
        <v>juin</v>
      </c>
      <c r="H169" s="205">
        <f>'ROLL+VL BAS TL+NI'!AD63</f>
        <v>-3271.1199999999953</v>
      </c>
      <c r="I169" s="205">
        <f>'ROLL+VL BAS TL+NI'!AE63</f>
        <v>-28633.799999999988</v>
      </c>
      <c r="J169" s="205">
        <f>'ROLL+VL BAS TL+NI'!AF63</f>
        <v>-69281.320000000007</v>
      </c>
      <c r="K169" s="205">
        <f>'ROLL+VL BAS TL+NI'!AG63</f>
        <v>-26880.959999999992</v>
      </c>
      <c r="M169" s="171" t="str">
        <f>'ROLL+VL ILR TL+NI'!AC63</f>
        <v>juin</v>
      </c>
      <c r="N169" s="205">
        <f>'ROLL+VL ILR TL+NI'!AD63</f>
        <v>-18162.919999999998</v>
      </c>
      <c r="O169" s="205">
        <f>'ROLL+VL ILR TL+NI'!AE63</f>
        <v>-14234</v>
      </c>
      <c r="P169" s="205">
        <f>'ROLL+VL ILR TL+NI'!AF63</f>
        <v>1581.3200000000033</v>
      </c>
      <c r="Q169" s="205">
        <f>'ROLL+VL ILR TL+NI'!AG63</f>
        <v>-3135.9599999999919</v>
      </c>
      <c r="S169" s="171" t="str">
        <f>'ROLL+VL PVE TL+NI '!AC63</f>
        <v>juin</v>
      </c>
      <c r="T169" s="205">
        <f>'ROLL+VL PVE TL+NI '!AD63</f>
        <v>10089</v>
      </c>
      <c r="U169" s="205">
        <f>'ROLL+VL PVE TL+NI '!AE63</f>
        <v>9876</v>
      </c>
      <c r="V169" s="205">
        <f>'ROLL+VL PVE TL+NI '!AF63</f>
        <v>4933.9200000000019</v>
      </c>
      <c r="W169" s="205">
        <f>'ROLL+VL PVE TL+NI '!AG63</f>
        <v>7677.2800000000007</v>
      </c>
      <c r="Y169" s="171" t="str">
        <f>'ROLL PRO TL+NI'!AC63</f>
        <v>juin</v>
      </c>
      <c r="Z169" s="205">
        <f>'ROLL PRO TL+NI'!AD63</f>
        <v>3503</v>
      </c>
      <c r="AA169" s="205">
        <f>'ROLL PRO TL+NI'!AE63</f>
        <v>2728</v>
      </c>
      <c r="AB169" s="205">
        <f>'ROLL PRO TL+NI'!AF63</f>
        <v>2562</v>
      </c>
      <c r="AC169" s="205">
        <f>'ROLL PRO TL+NI'!AG63</f>
        <v>2671</v>
      </c>
      <c r="AE169" s="155"/>
      <c r="AF169" s="171" t="s">
        <v>41</v>
      </c>
      <c r="AG169" s="205">
        <f t="shared" si="6"/>
        <v>-17732.559999999983</v>
      </c>
      <c r="AH169" s="205">
        <f t="shared" si="3"/>
        <v>-59417.719999999972</v>
      </c>
      <c r="AI169" s="205">
        <f t="shared" si="4"/>
        <v>-83372.87999999999</v>
      </c>
      <c r="AJ169" s="205">
        <f t="shared" si="5"/>
        <v>16395.720000000016</v>
      </c>
    </row>
    <row r="170" spans="1:36" x14ac:dyDescent="0.25">
      <c r="A170" s="171" t="str">
        <f>'ROLL+VL AJA TL+NI '!AC64</f>
        <v>juil</v>
      </c>
      <c r="B170" s="205">
        <f>'ROLL+VL AJA TL+NI '!AD64</f>
        <v>-165.32000000000698</v>
      </c>
      <c r="C170" s="205">
        <f>'ROLL+VL AJA TL+NI '!AE64</f>
        <v>23622.080000000016</v>
      </c>
      <c r="D170" s="205">
        <f>'ROLL+VL AJA TL+NI '!AF64</f>
        <v>9793.320000000007</v>
      </c>
      <c r="E170" s="205">
        <f>'ROLL+VL AJA TL+NI '!AG64</f>
        <v>46795.239999999991</v>
      </c>
      <c r="G170" s="171" t="str">
        <f>'ROLL+VL BAS TL+NI'!AC64</f>
        <v>juil</v>
      </c>
      <c r="H170" s="205">
        <f>'ROLL+VL BAS TL+NI'!AD64</f>
        <v>1760.1600000000035</v>
      </c>
      <c r="I170" s="205">
        <f>'ROLL+VL BAS TL+NI'!AE64</f>
        <v>5213.8399999999965</v>
      </c>
      <c r="J170" s="205">
        <f>'ROLL+VL BAS TL+NI'!AF64</f>
        <v>-51131.880000000005</v>
      </c>
      <c r="K170" s="205">
        <f>'ROLL+VL BAS TL+NI'!AG64</f>
        <v>-15326.039999999979</v>
      </c>
      <c r="M170" s="171" t="str">
        <f>'ROLL+VL ILR TL+NI'!AC64</f>
        <v>juil</v>
      </c>
      <c r="N170" s="205">
        <f>'ROLL+VL ILR TL+NI'!AD64</f>
        <v>-64210.399999999994</v>
      </c>
      <c r="O170" s="205">
        <f>'ROLL+VL ILR TL+NI'!AE64</f>
        <v>-32156.079999999987</v>
      </c>
      <c r="P170" s="205">
        <f>'ROLL+VL ILR TL+NI'!AF64</f>
        <v>-12994.799999999988</v>
      </c>
      <c r="Q170" s="205">
        <f>'ROLL+VL ILR TL+NI'!AG64</f>
        <v>-44093.639999999985</v>
      </c>
      <c r="S170" s="171" t="str">
        <f>'ROLL+VL PVE TL+NI '!AC64</f>
        <v>juil</v>
      </c>
      <c r="T170" s="205">
        <f>'ROLL+VL PVE TL+NI '!AD64</f>
        <v>10887</v>
      </c>
      <c r="U170" s="205">
        <f>'ROLL+VL PVE TL+NI '!AE64</f>
        <v>14358</v>
      </c>
      <c r="V170" s="205">
        <f>'ROLL+VL PVE TL+NI '!AF64</f>
        <v>14613</v>
      </c>
      <c r="W170" s="205">
        <f>'ROLL+VL PVE TL+NI '!AG64</f>
        <v>11280.560000000001</v>
      </c>
      <c r="Y170" s="171" t="str">
        <f>'ROLL PRO TL+NI'!AC64</f>
        <v>juil</v>
      </c>
      <c r="Z170" s="205">
        <f>'ROLL PRO TL+NI'!AD64</f>
        <v>3867</v>
      </c>
      <c r="AA170" s="205">
        <f>'ROLL PRO TL+NI'!AE64</f>
        <v>4761</v>
      </c>
      <c r="AB170" s="205">
        <f>'ROLL PRO TL+NI'!AF64</f>
        <v>4472</v>
      </c>
      <c r="AC170" s="205">
        <f>'ROLL PRO TL+NI'!AG64</f>
        <v>4152</v>
      </c>
      <c r="AE170" s="155"/>
      <c r="AF170" s="171" t="s">
        <v>42</v>
      </c>
      <c r="AG170" s="205">
        <f t="shared" si="6"/>
        <v>-47861.56</v>
      </c>
      <c r="AH170" s="205">
        <f t="shared" si="3"/>
        <v>15798.840000000026</v>
      </c>
      <c r="AI170" s="205">
        <f t="shared" si="4"/>
        <v>-35248.359999999986</v>
      </c>
      <c r="AJ170" s="205">
        <f t="shared" si="5"/>
        <v>2808.1200000000281</v>
      </c>
    </row>
    <row r="171" spans="1:36" x14ac:dyDescent="0.25">
      <c r="A171" s="171" t="str">
        <f>'ROLL+VL AJA TL+NI '!AC65</f>
        <v>aou</v>
      </c>
      <c r="B171" s="205">
        <f>'ROLL+VL AJA TL+NI '!AD65</f>
        <v>59401.72</v>
      </c>
      <c r="C171" s="205">
        <f>'ROLL+VL AJA TL+NI '!AE65</f>
        <v>69369.360000000015</v>
      </c>
      <c r="D171" s="205">
        <f>'ROLL+VL AJA TL+NI '!AF65</f>
        <v>56663.960000000021</v>
      </c>
      <c r="E171" s="205">
        <f>'ROLL+VL AJA TL+NI '!AG65</f>
        <v>3304.5999999999767</v>
      </c>
      <c r="G171" s="171" t="str">
        <f>'ROLL+VL BAS TL+NI'!AC65</f>
        <v>aou</v>
      </c>
      <c r="H171" s="205">
        <f>'ROLL+VL BAS TL+NI'!AD65</f>
        <v>65010.520000000019</v>
      </c>
      <c r="I171" s="205">
        <f>'ROLL+VL BAS TL+NI'!AE65</f>
        <v>49044.119999999995</v>
      </c>
      <c r="J171" s="205">
        <f>'ROLL+VL BAS TL+NI'!AF65</f>
        <v>9784.4800000000105</v>
      </c>
      <c r="K171" s="205">
        <f>'ROLL+VL BAS TL+NI'!AG65</f>
        <v>40058.880000000005</v>
      </c>
      <c r="M171" s="171" t="str">
        <f>'ROLL+VL ILR TL+NI'!AC65</f>
        <v>aou</v>
      </c>
      <c r="N171" s="205">
        <f>'ROLL+VL ILR TL+NI'!AD65</f>
        <v>-16240.399999999994</v>
      </c>
      <c r="O171" s="205">
        <f>'ROLL+VL ILR TL+NI'!AE65</f>
        <v>-15447.279999999999</v>
      </c>
      <c r="P171" s="205">
        <f>'ROLL+VL ILR TL+NI'!AF65</f>
        <v>-13575.440000000002</v>
      </c>
      <c r="Q171" s="205">
        <f>'ROLL+VL ILR TL+NI'!AG65</f>
        <v>-40679.639999999985</v>
      </c>
      <c r="S171" s="171" t="str">
        <f>'ROLL+VL PVE TL+NI '!AC65</f>
        <v>aou</v>
      </c>
      <c r="T171" s="205">
        <f>'ROLL+VL PVE TL+NI '!AD65</f>
        <v>19428</v>
      </c>
      <c r="U171" s="205">
        <f>'ROLL+VL PVE TL+NI '!AE65</f>
        <v>18636</v>
      </c>
      <c r="V171" s="205">
        <f>'ROLL+VL PVE TL+NI '!AF65</f>
        <v>17994</v>
      </c>
      <c r="W171" s="205">
        <f>'ROLL+VL PVE TL+NI '!AG65</f>
        <v>16785</v>
      </c>
      <c r="Y171" s="171" t="str">
        <f>'ROLL PRO TL+NI'!AC65</f>
        <v>aou</v>
      </c>
      <c r="Z171" s="205">
        <f>'ROLL PRO TL+NI'!AD65</f>
        <v>6879</v>
      </c>
      <c r="AA171" s="205">
        <f>'ROLL PRO TL+NI'!AE65</f>
        <v>7331</v>
      </c>
      <c r="AB171" s="205">
        <f>'ROLL PRO TL+NI'!AF65</f>
        <v>4416</v>
      </c>
      <c r="AC171" s="205">
        <f>'ROLL PRO TL+NI'!AG65</f>
        <v>4641</v>
      </c>
      <c r="AE171" s="155"/>
      <c r="AF171" s="171" t="s">
        <v>43</v>
      </c>
      <c r="AG171" s="205">
        <f t="shared" si="6"/>
        <v>134478.84000000003</v>
      </c>
      <c r="AH171" s="205">
        <f t="shared" si="3"/>
        <v>128933.20000000001</v>
      </c>
      <c r="AI171" s="205">
        <f t="shared" si="4"/>
        <v>75283.000000000029</v>
      </c>
      <c r="AJ171" s="205">
        <f t="shared" si="5"/>
        <v>24109.839999999997</v>
      </c>
    </row>
    <row r="172" spans="1:36" x14ac:dyDescent="0.25">
      <c r="A172" s="171" t="str">
        <f>'ROLL+VL AJA TL+NI '!AC66</f>
        <v>sep</v>
      </c>
      <c r="B172" s="205">
        <f>'ROLL+VL AJA TL+NI '!AD66</f>
        <v>4699.2799999999988</v>
      </c>
      <c r="C172" s="205">
        <f>'ROLL+VL AJA TL+NI '!AE66</f>
        <v>11749.839999999997</v>
      </c>
      <c r="D172" s="205">
        <f>'ROLL+VL AJA TL+NI '!AF66</f>
        <v>429.48000000001048</v>
      </c>
      <c r="E172" s="205">
        <f>'ROLL+VL AJA TL+NI '!AG66</f>
        <v>-32256.079999999973</v>
      </c>
      <c r="G172" s="171" t="str">
        <f>'ROLL+VL BAS TL+NI'!AC66</f>
        <v>sep</v>
      </c>
      <c r="H172" s="205">
        <f>'ROLL+VL BAS TL+NI'!AD66</f>
        <v>4642.2000000000116</v>
      </c>
      <c r="I172" s="205">
        <f>'ROLL+VL BAS TL+NI'!AE66</f>
        <v>-1395.1600000000035</v>
      </c>
      <c r="J172" s="205">
        <f>'ROLL+VL BAS TL+NI'!AF66</f>
        <v>-4273.2399999999907</v>
      </c>
      <c r="K172" s="205">
        <f>'ROLL+VL BAS TL+NI'!AG66</f>
        <v>-734.03999999997905</v>
      </c>
      <c r="M172" s="171" t="str">
        <f>'ROLL+VL ILR TL+NI'!AC66</f>
        <v>sep</v>
      </c>
      <c r="N172" s="205">
        <f>'ROLL+VL ILR TL+NI'!AD66</f>
        <v>-9547.8800000000047</v>
      </c>
      <c r="O172" s="205">
        <f>'ROLL+VL ILR TL+NI'!AE66</f>
        <v>-7072.8799999999974</v>
      </c>
      <c r="P172" s="205">
        <f>'ROLL+VL ILR TL+NI'!AF66</f>
        <v>-6234.7599999999948</v>
      </c>
      <c r="Q172" s="205">
        <f>'ROLL+VL ILR TL+NI'!AG66</f>
        <v>-8718.68</v>
      </c>
      <c r="S172" s="171" t="str">
        <f>'ROLL+VL PVE TL+NI '!AC66</f>
        <v>sep</v>
      </c>
      <c r="T172" s="205">
        <f>'ROLL+VL PVE TL+NI '!AD66</f>
        <v>11961</v>
      </c>
      <c r="U172" s="205">
        <f>'ROLL+VL PVE TL+NI '!AE66</f>
        <v>11358</v>
      </c>
      <c r="V172" s="205">
        <f>'ROLL+VL PVE TL+NI '!AF66</f>
        <v>6574.6399999999994</v>
      </c>
      <c r="W172" s="205">
        <f>'ROLL+VL PVE TL+NI '!AG66</f>
        <v>4012.9200000000019</v>
      </c>
      <c r="Y172" s="171" t="str">
        <f>'ROLL PRO TL+NI'!AC66</f>
        <v>sep</v>
      </c>
      <c r="Z172" s="205">
        <f>'ROLL PRO TL+NI'!AD66</f>
        <v>3152</v>
      </c>
      <c r="AA172" s="205">
        <f>'ROLL PRO TL+NI'!AE66</f>
        <v>2950</v>
      </c>
      <c r="AB172" s="205">
        <f>'ROLL PRO TL+NI'!AF66</f>
        <v>2942</v>
      </c>
      <c r="AC172" s="205">
        <f>'ROLL PRO TL+NI'!AG66</f>
        <v>2981</v>
      </c>
      <c r="AE172" s="155"/>
      <c r="AF172" s="171" t="s">
        <v>44</v>
      </c>
      <c r="AG172" s="205">
        <f t="shared" si="6"/>
        <v>14906.600000000006</v>
      </c>
      <c r="AH172" s="205">
        <f t="shared" si="3"/>
        <v>17589.799999999996</v>
      </c>
      <c r="AI172" s="205">
        <f t="shared" si="4"/>
        <v>-561.87999999997555</v>
      </c>
      <c r="AJ172" s="205">
        <f t="shared" si="5"/>
        <v>-34714.879999999946</v>
      </c>
    </row>
    <row r="173" spans="1:36" x14ac:dyDescent="0.25">
      <c r="A173" s="171" t="str">
        <f>'ROLL+VL AJA TL+NI '!AC67</f>
        <v>oct</v>
      </c>
      <c r="B173" s="205">
        <f>'ROLL+VL AJA TL+NI '!AD67</f>
        <v>-11834.039999999994</v>
      </c>
      <c r="C173" s="205">
        <f>'ROLL+VL AJA TL+NI '!AE67</f>
        <v>-3413.4400000000023</v>
      </c>
      <c r="D173" s="205">
        <f>'ROLL+VL AJA TL+NI '!AF67</f>
        <v>-20125.760000000009</v>
      </c>
      <c r="E173" s="205">
        <f>'ROLL+VL AJA TL+NI '!AG67</f>
        <v>-65078.759999999995</v>
      </c>
      <c r="G173" s="171" t="str">
        <f>'ROLL+VL BAS TL+NI'!AC67</f>
        <v>oct</v>
      </c>
      <c r="H173" s="205">
        <f>'ROLL+VL BAS TL+NI'!AD67</f>
        <v>-10479.839999999997</v>
      </c>
      <c r="I173" s="205">
        <f>'ROLL+VL BAS TL+NI'!AE67</f>
        <v>-17810.319999999992</v>
      </c>
      <c r="J173" s="205">
        <f>'ROLL+VL BAS TL+NI'!AF67</f>
        <v>-8719.5199999999895</v>
      </c>
      <c r="K173" s="205">
        <f>'ROLL+VL BAS TL+NI'!AG67</f>
        <v>-23187.319999999992</v>
      </c>
      <c r="M173" s="171" t="str">
        <f>'ROLL+VL ILR TL+NI'!AC67</f>
        <v>oct</v>
      </c>
      <c r="N173" s="205">
        <f>'ROLL+VL ILR TL+NI'!AD67</f>
        <v>91.920000000001892</v>
      </c>
      <c r="O173" s="205">
        <f>'ROLL+VL ILR TL+NI'!AE67</f>
        <v>5170.6400000000003</v>
      </c>
      <c r="P173" s="205">
        <f>'ROLL+VL ILR TL+NI'!AF67</f>
        <v>4269.5600000000004</v>
      </c>
      <c r="Q173" s="205">
        <f>'ROLL+VL ILR TL+NI'!AG67</f>
        <v>5667.56</v>
      </c>
      <c r="S173" s="171" t="str">
        <f>'ROLL+VL PVE TL+NI '!AC67</f>
        <v>oct</v>
      </c>
      <c r="T173" s="205">
        <f>'ROLL+VL PVE TL+NI '!AD67</f>
        <v>7725</v>
      </c>
      <c r="U173" s="205">
        <f>'ROLL+VL PVE TL+NI '!AE67</f>
        <v>8070</v>
      </c>
      <c r="V173" s="205">
        <f>'ROLL+VL PVE TL+NI '!AF67</f>
        <v>-679.59999999999854</v>
      </c>
      <c r="W173" s="205">
        <f>'ROLL+VL PVE TL+NI '!AG67</f>
        <v>5724.2800000000007</v>
      </c>
      <c r="Y173" s="171" t="str">
        <f>'ROLL PRO TL+NI'!AC67</f>
        <v>oct</v>
      </c>
      <c r="Z173" s="205">
        <f>'ROLL PRO TL+NI'!AD67</f>
        <v>2187</v>
      </c>
      <c r="AA173" s="205">
        <f>'ROLL PRO TL+NI'!AE67</f>
        <v>2132</v>
      </c>
      <c r="AB173" s="205">
        <f>'ROLL PRO TL+NI'!AF67</f>
        <v>2194</v>
      </c>
      <c r="AC173" s="205">
        <f>'ROLL PRO TL+NI'!AG67</f>
        <v>2131</v>
      </c>
      <c r="AE173" s="155"/>
      <c r="AF173" s="171" t="s">
        <v>45</v>
      </c>
      <c r="AG173" s="205">
        <f t="shared" si="6"/>
        <v>-12309.959999999988</v>
      </c>
      <c r="AH173" s="205">
        <f t="shared" si="3"/>
        <v>-5851.1199999999953</v>
      </c>
      <c r="AI173" s="205">
        <f t="shared" si="4"/>
        <v>-23061.319999999996</v>
      </c>
      <c r="AJ173" s="205">
        <f>E173+K173+Q173+W173+AC173</f>
        <v>-74743.239999999991</v>
      </c>
    </row>
    <row r="174" spans="1:36" x14ac:dyDescent="0.25">
      <c r="A174" s="171" t="str">
        <f>'ROLL+VL AJA TL+NI '!AC68</f>
        <v>nov</v>
      </c>
      <c r="B174" s="205">
        <f>'ROLL+VL AJA TL+NI '!AD68</f>
        <v>5037.0800000000017</v>
      </c>
      <c r="C174" s="205">
        <f>'ROLL+VL AJA TL+NI '!AE68</f>
        <v>-2258.3600000000006</v>
      </c>
      <c r="D174" s="205">
        <f>'ROLL+VL AJA TL+NI '!AF68</f>
        <v>-2669.9199999999983</v>
      </c>
      <c r="E174" s="207">
        <f>SUM(E164:E173)*F174</f>
        <v>772.30499009808568</v>
      </c>
      <c r="F174" s="123">
        <f>D174/SUM(D164:D173)</f>
        <v>7.0991744502894111E-2</v>
      </c>
      <c r="G174" s="171" t="str">
        <f>'ROLL+VL BAS TL+NI'!AC68</f>
        <v>nov</v>
      </c>
      <c r="H174" s="205">
        <f>'ROLL+VL BAS TL+NI'!AD68</f>
        <v>-2321.3600000000006</v>
      </c>
      <c r="I174" s="205">
        <f>'ROLL+VL BAS TL+NI'!AE68</f>
        <v>-11561.64</v>
      </c>
      <c r="J174" s="205">
        <f>'ROLL+VL BAS TL+NI'!AF68</f>
        <v>-24352.800000000003</v>
      </c>
      <c r="K174" s="207">
        <f>SUM(K164:K173)*L174</f>
        <v>-11608.880289742709</v>
      </c>
      <c r="L174" s="123">
        <f>J174/SUM(J164:J173)</f>
        <v>0.1049357298386701</v>
      </c>
      <c r="M174" s="171" t="str">
        <f>'ROLL+VL ILR TL+NI'!AC68</f>
        <v>nov</v>
      </c>
      <c r="N174" s="205">
        <f>'ROLL+VL ILR TL+NI'!AD68</f>
        <v>-3812.7999999999993</v>
      </c>
      <c r="O174" s="205">
        <f>'ROLL+VL ILR TL+NI'!AE68</f>
        <v>-2835</v>
      </c>
      <c r="P174" s="205">
        <f>'ROLL+VL ILR TL+NI'!AF68</f>
        <v>-10767</v>
      </c>
      <c r="Q174" s="207">
        <f>SUM(Q164:Q173)*R174</f>
        <v>-28515.772861596539</v>
      </c>
      <c r="R174" s="123">
        <f>P174/SUM(P164:P173)</f>
        <v>0.28768370663369197</v>
      </c>
      <c r="S174" s="171" t="str">
        <f>'ROLL+VL PVE TL+NI '!AC68</f>
        <v>nov</v>
      </c>
      <c r="T174" s="205">
        <f>'ROLL+VL PVE TL+NI '!AD68</f>
        <v>3603</v>
      </c>
      <c r="U174" s="205">
        <f>'ROLL+VL PVE TL+NI '!AE68</f>
        <v>3348</v>
      </c>
      <c r="V174" s="205">
        <f>'ROLL+VL PVE TL+NI '!AF68</f>
        <v>-1236</v>
      </c>
      <c r="W174" s="207">
        <f>SUM(W164:W173)*X174</f>
        <v>3075.725980368521</v>
      </c>
      <c r="X174" s="123">
        <f>U174/SUM(U164:U173)</f>
        <v>3.8436369898398486E-2</v>
      </c>
      <c r="Y174" s="171" t="str">
        <f>'ROLL PRO TL+NI'!AC68</f>
        <v>nov</v>
      </c>
      <c r="Z174" s="205">
        <f>'ROLL PRO TL+NI'!AD68</f>
        <v>1248</v>
      </c>
      <c r="AA174" s="205">
        <f>'ROLL PRO TL+NI'!AE68</f>
        <v>938</v>
      </c>
      <c r="AB174" s="205">
        <f>'ROLL PRO TL+NI'!AF68</f>
        <v>1023</v>
      </c>
      <c r="AC174" s="207">
        <f>SUM(AC164:AC173)*AD174</f>
        <v>966.96795693411946</v>
      </c>
      <c r="AD174" s="123">
        <f>AB174/SUM(AB164:AB173)</f>
        <v>4.3706741861061264E-2</v>
      </c>
      <c r="AE174" s="155"/>
      <c r="AF174" s="171" t="s">
        <v>46</v>
      </c>
      <c r="AG174" s="205">
        <f t="shared" si="6"/>
        <v>3753.9200000000019</v>
      </c>
      <c r="AH174" s="205">
        <f t="shared" si="3"/>
        <v>-12369</v>
      </c>
      <c r="AI174" s="205">
        <f t="shared" si="4"/>
        <v>-38002.720000000001</v>
      </c>
      <c r="AJ174" s="205">
        <f t="shared" si="5"/>
        <v>-35309.654223938524</v>
      </c>
    </row>
    <row r="175" spans="1:36" x14ac:dyDescent="0.25">
      <c r="A175" s="171" t="str">
        <f>'ROLL+VL AJA TL+NI '!AC69</f>
        <v>déc</v>
      </c>
      <c r="B175" s="205">
        <f>'ROLL+VL AJA TL+NI '!AD69</f>
        <v>9900.0800000000017</v>
      </c>
      <c r="C175" s="205">
        <f>'ROLL+VL AJA TL+NI '!AE69</f>
        <v>-4081.5999999999985</v>
      </c>
      <c r="D175" s="205">
        <f>'ROLL+VL AJA TL+NI '!AF69</f>
        <v>1806.0800000000017</v>
      </c>
      <c r="E175" s="207">
        <f>SUM(E164:E173)*F175</f>
        <v>-522.42935987458532</v>
      </c>
      <c r="F175" s="123">
        <f>D175/SUM(D164:D173)</f>
        <v>-4.8022701021673754E-2</v>
      </c>
      <c r="G175" s="171" t="str">
        <f>'ROLL+VL BAS TL+NI'!AC69</f>
        <v>déc</v>
      </c>
      <c r="H175" s="205">
        <f>'ROLL+VL BAS TL+NI'!AD69</f>
        <v>4928.5200000000041</v>
      </c>
      <c r="I175" s="205">
        <f>'ROLL+VL BAS TL+NI'!AE69</f>
        <v>-756.19999999999709</v>
      </c>
      <c r="J175" s="205">
        <f>'ROLL+VL BAS TL+NI'!AF69</f>
        <v>-18875.36</v>
      </c>
      <c r="K175" s="207">
        <f>SUM(K164:K173)*L175</f>
        <v>-8997.8070146265691</v>
      </c>
      <c r="L175" s="123">
        <f>J175/SUM(J164:J173)</f>
        <v>8.1333550046304326E-2</v>
      </c>
      <c r="M175" s="171" t="str">
        <f>'ROLL+VL ILR TL+NI'!AC69</f>
        <v>déc</v>
      </c>
      <c r="N175" s="205">
        <f>'ROLL+VL ILR TL+NI'!AD69</f>
        <v>-1913.2399999999998</v>
      </c>
      <c r="O175" s="205">
        <f>'ROLL+VL ILR TL+NI'!AE69</f>
        <v>-5841</v>
      </c>
      <c r="P175" s="205">
        <f>'ROLL+VL ILR TL+NI'!AF69</f>
        <v>-3760.119999999999</v>
      </c>
      <c r="Q175" s="207">
        <f>SUM(Q164:Q173)*R175</f>
        <v>-9958.4589813640159</v>
      </c>
      <c r="R175" s="123">
        <f>P175/SUM(P164:P173)</f>
        <v>0.10046672787103907</v>
      </c>
      <c r="S175" s="171" t="str">
        <f>'ROLL+VL PVE TL+NI '!AC69</f>
        <v>déc</v>
      </c>
      <c r="T175" s="205">
        <f>'ROLL+VL PVE TL+NI '!AD69</f>
        <v>3825</v>
      </c>
      <c r="U175" s="205">
        <f>'ROLL+VL PVE TL+NI '!AE69</f>
        <v>3960</v>
      </c>
      <c r="V175" s="205">
        <f>'ROLL+VL PVE TL+NI '!AF69</f>
        <v>-3096.3599999999988</v>
      </c>
      <c r="W175" s="207">
        <f>SUM(W164:W173)*X175</f>
        <v>3621.1188481316422</v>
      </c>
      <c r="X175" s="123">
        <f>U175/SUM(U165:U174)</f>
        <v>4.5251971203291053E-2</v>
      </c>
      <c r="Y175" s="171" t="str">
        <f>'ROLL PRO TL+NI'!AC69</f>
        <v>déc</v>
      </c>
      <c r="Z175" s="205">
        <f>'ROLL PRO TL+NI'!AD69</f>
        <v>1174</v>
      </c>
      <c r="AA175" s="205">
        <f>'ROLL PRO TL+NI'!AE69</f>
        <v>1168</v>
      </c>
      <c r="AB175" s="205">
        <f>'ROLL PRO TL+NI'!AF69</f>
        <v>1271</v>
      </c>
      <c r="AC175" s="207">
        <f>SUM(AC164:AC173)*AD175</f>
        <v>1201.3844313423908</v>
      </c>
      <c r="AD175" s="123">
        <f>AB175/SUM(AB164:AB173)</f>
        <v>5.430231564556097E-2</v>
      </c>
      <c r="AE175" s="155"/>
      <c r="AF175" s="171" t="s">
        <v>47</v>
      </c>
      <c r="AG175" s="205">
        <f t="shared" si="6"/>
        <v>17914.360000000008</v>
      </c>
      <c r="AH175" s="205">
        <f t="shared" si="3"/>
        <v>-5550.7999999999956</v>
      </c>
      <c r="AI175" s="205">
        <f t="shared" si="4"/>
        <v>-22654.759999999995</v>
      </c>
      <c r="AJ175" s="205">
        <f t="shared" si="5"/>
        <v>-14656.192076391137</v>
      </c>
    </row>
    <row r="176" spans="1:36" s="182" customFormat="1" x14ac:dyDescent="0.25">
      <c r="A176" s="171" t="str">
        <f>'ROLL+VL AJA TL+NI '!AC70</f>
        <v>TOTAL</v>
      </c>
      <c r="B176" s="206">
        <f>'ROLL+VL AJA TL+NI '!AD70</f>
        <v>-9092.239999999947</v>
      </c>
      <c r="C176" s="206">
        <f>'ROLL+VL AJA TL+NI '!AE70</f>
        <v>43272.680000000058</v>
      </c>
      <c r="D176" s="206">
        <f>'ROLL+VL AJA TL+NI '!AF70</f>
        <v>-38472.719999999914</v>
      </c>
      <c r="E176" s="206">
        <f>SUM(E163:E175)</f>
        <v>13145.675630223519</v>
      </c>
      <c r="G176" s="171" t="str">
        <f>'ROLL+VL BAS TL+NI'!AC70</f>
        <v>TOTAL</v>
      </c>
      <c r="H176" s="206">
        <f>'ROLL+VL BAS TL+NI'!AD70</f>
        <v>-1083.7999999999447</v>
      </c>
      <c r="I176" s="206">
        <f>'ROLL+VL BAS TL+NI'!AE70</f>
        <v>-86273.959999999977</v>
      </c>
      <c r="J176" s="206">
        <f>'ROLL+VL BAS TL+NI'!AF70</f>
        <v>-275301.63999999996</v>
      </c>
      <c r="K176" s="206">
        <f>SUM(K163:K175)</f>
        <v>-129218.16730436918</v>
      </c>
      <c r="M176" s="171" t="str">
        <f>'ROLL+VL ILR TL+NI'!AC70</f>
        <v>TOTAL</v>
      </c>
      <c r="N176" s="206">
        <f>'ROLL+VL ILR TL+NI'!AD70</f>
        <v>-124705.31999999999</v>
      </c>
      <c r="O176" s="206">
        <f>'ROLL+VL ILR TL+NI'!AE70</f>
        <v>-78307.799999999974</v>
      </c>
      <c r="P176" s="206">
        <f>'ROLL+VL ILR TL+NI'!AF70</f>
        <v>-51953.639999999985</v>
      </c>
      <c r="Q176" s="206">
        <f>SUM(Q163:Q175)</f>
        <v>-135579.19184296051</v>
      </c>
      <c r="S176" s="171" t="str">
        <f>'ROLL+VL PVE TL+NI '!AC70</f>
        <v>TOTAL</v>
      </c>
      <c r="T176" s="206">
        <f>'ROLL+VL PVE TL+NI '!AD70</f>
        <v>93119.44</v>
      </c>
      <c r="U176" s="206">
        <f>'ROLL+VL PVE TL+NI '!AE70</f>
        <v>94413</v>
      </c>
      <c r="V176" s="206">
        <f>'ROLL+VL PVE TL+NI '!AF70</f>
        <v>63697.599999999991</v>
      </c>
      <c r="W176" s="206">
        <f>SUM(W163:W175)</f>
        <v>88735.08482850017</v>
      </c>
      <c r="Y176" s="171" t="str">
        <f>'ROLL PRO TL+NI'!AC70</f>
        <v>TOTAL</v>
      </c>
      <c r="Z176" s="206">
        <f>'ROLL PRO TL+NI'!AD70</f>
        <v>28519</v>
      </c>
      <c r="AA176" s="206">
        <f>'ROLL PRO TL+NI'!AE70</f>
        <v>29324</v>
      </c>
      <c r="AB176" s="206">
        <f>'ROLL PRO TL+NI'!AF70</f>
        <v>25700</v>
      </c>
      <c r="AC176" s="206">
        <f>SUM(AC163:AC175)</f>
        <v>26309.352388276511</v>
      </c>
      <c r="AE176" s="208"/>
      <c r="AF176" s="171" t="s">
        <v>234</v>
      </c>
      <c r="AG176" s="206">
        <f>SUM(AG164:AG175)</f>
        <v>-13242.919999999885</v>
      </c>
      <c r="AH176" s="206">
        <f t="shared" ref="AH176" si="7">SUM(AH164:AH175)</f>
        <v>2427.9200000001001</v>
      </c>
      <c r="AI176" s="206">
        <f t="shared" ref="AI176" si="8">SUM(AI164:AI175)</f>
        <v>-276330.39999999985</v>
      </c>
      <c r="AJ176" s="206">
        <f t="shared" ref="AJ176" si="9">SUM(AJ164:AJ175)</f>
        <v>-146692.24630032951</v>
      </c>
    </row>
    <row r="177" spans="1:41" x14ac:dyDescent="0.25">
      <c r="AE177" s="155"/>
    </row>
    <row r="178" spans="1:41" x14ac:dyDescent="0.25">
      <c r="A178" s="193" t="str">
        <f>'ROLL+VL AJA TL+NI '!AC72</f>
        <v xml:space="preserve">BESOIN SERVICE PUBLIC ROLL AJACIO </v>
      </c>
      <c r="B178" s="194"/>
      <c r="C178" s="194"/>
      <c r="D178" s="194"/>
      <c r="E178" s="195"/>
      <c r="G178" s="193" t="str">
        <f>'ROLL+VL BAS TL+NI'!AC72</f>
        <v xml:space="preserve">BESOIN SERVICE PUBLIC ROLL BASTIA </v>
      </c>
      <c r="H178" s="194"/>
      <c r="I178" s="194"/>
      <c r="J178" s="194"/>
      <c r="K178" s="195"/>
      <c r="M178" s="193" t="str">
        <f>'ROLL+VL ILR TL+NI'!AC72</f>
        <v>BESOIN SERVICE PUBLIC ROLL ILE ROUSSE</v>
      </c>
      <c r="N178" s="194"/>
      <c r="O178" s="194"/>
      <c r="P178" s="194"/>
      <c r="Q178" s="195"/>
      <c r="S178" s="193" t="str">
        <f>'ROLL+VL PVE TL+NI '!AC72</f>
        <v xml:space="preserve">BESOIN SERVICE PUBLIC ROLL PORTO VECCHIO </v>
      </c>
      <c r="T178" s="194"/>
      <c r="U178" s="194"/>
      <c r="V178" s="194"/>
      <c r="W178" s="195"/>
      <c r="Y178" s="193" t="str">
        <f>'ROLL PRO TL+NI'!AC72</f>
        <v xml:space="preserve">BESOIN SERVICE PUBLIC ROLL PROPRIANO </v>
      </c>
      <c r="Z178" s="194"/>
      <c r="AA178" s="194"/>
      <c r="AB178" s="194"/>
      <c r="AC178" s="195"/>
      <c r="AE178" s="155"/>
      <c r="AF178" s="193" t="s">
        <v>236</v>
      </c>
      <c r="AG178" s="194"/>
      <c r="AH178" s="194"/>
      <c r="AI178" s="194"/>
      <c r="AJ178" s="195"/>
    </row>
    <row r="179" spans="1:41" x14ac:dyDescent="0.25">
      <c r="A179" s="118"/>
      <c r="B179" s="183">
        <f>'ROLL+VL AJA TL+NI '!AD73</f>
        <v>2014</v>
      </c>
      <c r="C179" s="183">
        <f>'ROLL+VL AJA TL+NI '!AE73</f>
        <v>2015</v>
      </c>
      <c r="D179" s="183">
        <f>'ROLL+VL AJA TL+NI '!AF73</f>
        <v>2016</v>
      </c>
      <c r="E179" s="183">
        <f>'ROLL+VL AJA TL+NI '!AG73</f>
        <v>2017</v>
      </c>
      <c r="G179" s="118"/>
      <c r="H179" s="183">
        <f>'ROLL+VL BAS TL+NI'!AD73</f>
        <v>2014</v>
      </c>
      <c r="I179" s="183">
        <f>'ROLL+VL BAS TL+NI'!AE73</f>
        <v>2015</v>
      </c>
      <c r="J179" s="183">
        <f>'ROLL+VL BAS TL+NI'!AF73</f>
        <v>2016</v>
      </c>
      <c r="K179" s="183">
        <f>'ROLL+VL BAS TL+NI'!AG73</f>
        <v>2017</v>
      </c>
      <c r="M179" s="118"/>
      <c r="N179" s="171">
        <f>'ROLL+VL ILR TL+NI'!AD73</f>
        <v>2014</v>
      </c>
      <c r="O179" s="171">
        <f>'ROLL+VL ILR TL+NI'!AE73</f>
        <v>2015</v>
      </c>
      <c r="P179" s="171">
        <f>'ROLL+VL ILR TL+NI'!AF73</f>
        <v>2016</v>
      </c>
      <c r="Q179" s="171">
        <f>'ROLL+VL ILR TL+NI'!AG73</f>
        <v>2017</v>
      </c>
      <c r="S179" s="118"/>
      <c r="T179" s="171">
        <f>'ROLL+VL PVE TL+NI '!AD73</f>
        <v>2014</v>
      </c>
      <c r="U179" s="171">
        <f>'ROLL+VL PVE TL+NI '!AE73</f>
        <v>2015</v>
      </c>
      <c r="V179" s="171">
        <f>'ROLL+VL PVE TL+NI '!AF73</f>
        <v>2016</v>
      </c>
      <c r="W179" s="171">
        <f>'ROLL+VL PVE TL+NI '!AG73</f>
        <v>2017</v>
      </c>
      <c r="Y179" s="118"/>
      <c r="Z179" s="171">
        <f>'ROLL PRO TL+NI'!AD73</f>
        <v>2014</v>
      </c>
      <c r="AA179" s="171">
        <f>'ROLL PRO TL+NI'!AE73</f>
        <v>2015</v>
      </c>
      <c r="AB179" s="171">
        <f>'ROLL PRO TL+NI'!AF73</f>
        <v>2016</v>
      </c>
      <c r="AC179" s="171">
        <f>'ROLL PRO TL+NI'!AG73</f>
        <v>2017</v>
      </c>
      <c r="AE179" s="155"/>
      <c r="AF179" s="118"/>
      <c r="AG179" s="183">
        <v>2014</v>
      </c>
      <c r="AH179" s="183">
        <v>2015</v>
      </c>
      <c r="AI179" s="183">
        <v>2016</v>
      </c>
      <c r="AJ179" s="183">
        <v>2017</v>
      </c>
    </row>
    <row r="180" spans="1:41" x14ac:dyDescent="0.25">
      <c r="A180" s="171" t="str">
        <f>'ROLL+VL AJA TL+NI '!AC74</f>
        <v>jan</v>
      </c>
      <c r="B180" s="205">
        <f>'ROLL+VL AJA TL+NI '!AD74</f>
        <v>26001</v>
      </c>
      <c r="C180" s="205">
        <f>'ROLL+VL AJA TL+NI '!AE74</f>
        <v>26893.4</v>
      </c>
      <c r="D180" s="205">
        <f>'ROLL+VL AJA TL+NI '!AF74</f>
        <v>27551.199999999997</v>
      </c>
      <c r="E180" s="205">
        <f>'ROLL+VL AJA TL+NI '!AG74</f>
        <v>35134.800000000003</v>
      </c>
      <c r="G180" s="171" t="str">
        <f>'ROLL+VL BAS TL+NI'!AC74</f>
        <v>jan</v>
      </c>
      <c r="H180" s="205">
        <f>'ROLL+VL BAS TL+NI'!AD74</f>
        <v>53157</v>
      </c>
      <c r="I180" s="205">
        <f>'ROLL+VL BAS TL+NI'!AE74</f>
        <v>59480.6</v>
      </c>
      <c r="J180" s="205">
        <f>'ROLL+VL BAS TL+NI'!AF74</f>
        <v>54817.8</v>
      </c>
      <c r="K180" s="205">
        <f>'ROLL+VL BAS TL+NI'!AG74</f>
        <v>58850.2</v>
      </c>
      <c r="M180" s="171" t="str">
        <f>'ROLL+VL ILR TL+NI'!AC74</f>
        <v>jan</v>
      </c>
      <c r="N180" s="205">
        <f>'ROLL+VL ILR TL+NI'!AD74</f>
        <v>3092</v>
      </c>
      <c r="O180" s="205">
        <f>'ROLL+VL ILR TL+NI'!AE74</f>
        <v>2564</v>
      </c>
      <c r="P180" s="205">
        <f>'ROLL+VL ILR TL+NI'!AF74</f>
        <v>2881</v>
      </c>
      <c r="Q180" s="205">
        <f>'ROLL+VL ILR TL+NI'!AG74</f>
        <v>4617.6000000000004</v>
      </c>
      <c r="S180" s="171" t="str">
        <f>'ROLL+VL PVE TL+NI '!AC74</f>
        <v>jan</v>
      </c>
      <c r="T180" s="205">
        <f>'ROLL+VL PVE TL+NI '!AD74</f>
        <v>5989</v>
      </c>
      <c r="U180" s="205">
        <f>'ROLL+VL PVE TL+NI '!AE74</f>
        <v>7836</v>
      </c>
      <c r="V180" s="205">
        <f>'ROLL+VL PVE TL+NI '!AF74</f>
        <v>5585.6</v>
      </c>
      <c r="W180" s="205">
        <f>'ROLL+VL PVE TL+NI '!AG74</f>
        <v>7688.6</v>
      </c>
      <c r="Y180" s="171" t="str">
        <f>'ROLL PRO TL+NI'!AC74</f>
        <v>jan</v>
      </c>
      <c r="Z180" s="205">
        <f>'ROLL PRO TL+NI'!AD74</f>
        <v>5573</v>
      </c>
      <c r="AA180" s="205">
        <f>'ROLL PRO TL+NI'!AE74</f>
        <v>5632</v>
      </c>
      <c r="AB180" s="205">
        <f>'ROLL PRO TL+NI'!AF74</f>
        <v>4671</v>
      </c>
      <c r="AC180" s="205">
        <f>'ROLL PRO TL+NI'!AG74</f>
        <v>6147</v>
      </c>
      <c r="AE180" s="155"/>
      <c r="AF180" s="171" t="s">
        <v>36</v>
      </c>
      <c r="AG180" s="205">
        <f>B180+H180+N180+T180+Z180</f>
        <v>93812</v>
      </c>
      <c r="AH180" s="205">
        <f t="shared" ref="AH180:AH191" si="10">C180+I180+O180+U180+AA180</f>
        <v>102406</v>
      </c>
      <c r="AI180" s="205">
        <f t="shared" ref="AI180:AI191" si="11">D180+J180+P180+V180+AB180</f>
        <v>95506.6</v>
      </c>
      <c r="AJ180" s="205">
        <f t="shared" ref="AJ180:AJ191" si="12">E180+K180+Q180+W180+AC180</f>
        <v>112438.20000000001</v>
      </c>
    </row>
    <row r="181" spans="1:41" x14ac:dyDescent="0.25">
      <c r="A181" s="171" t="str">
        <f>'ROLL+VL AJA TL+NI '!AC75</f>
        <v>fév</v>
      </c>
      <c r="B181" s="205">
        <f>'ROLL+VL AJA TL+NI '!AD75</f>
        <v>29531.8</v>
      </c>
      <c r="C181" s="205">
        <f>'ROLL+VL AJA TL+NI '!AE75</f>
        <v>28885.199999999997</v>
      </c>
      <c r="D181" s="205">
        <f>'ROLL+VL AJA TL+NI '!AF75</f>
        <v>29631.800000000003</v>
      </c>
      <c r="E181" s="205">
        <f>'ROLL+VL AJA TL+NI '!AG75</f>
        <v>37110.199999999997</v>
      </c>
      <c r="G181" s="171" t="str">
        <f>'ROLL+VL BAS TL+NI'!AC75</f>
        <v>fév</v>
      </c>
      <c r="H181" s="205">
        <f>'ROLL+VL BAS TL+NI'!AD75</f>
        <v>49942.400000000001</v>
      </c>
      <c r="I181" s="205">
        <f>'ROLL+VL BAS TL+NI'!AE75</f>
        <v>53754.8</v>
      </c>
      <c r="J181" s="205">
        <f>'ROLL+VL BAS TL+NI'!AF75</f>
        <v>58115</v>
      </c>
      <c r="K181" s="205">
        <f>'ROLL+VL BAS TL+NI'!AG75</f>
        <v>60662.400000000001</v>
      </c>
      <c r="M181" s="171" t="str">
        <f>'ROLL+VL ILR TL+NI'!AC75</f>
        <v>fév</v>
      </c>
      <c r="N181" s="205">
        <f>'ROLL+VL ILR TL+NI'!AD75</f>
        <v>3406</v>
      </c>
      <c r="O181" s="205">
        <f>'ROLL+VL ILR TL+NI'!AE75</f>
        <v>341</v>
      </c>
      <c r="P181" s="205">
        <f>'ROLL+VL ILR TL+NI'!AF75</f>
        <v>4390</v>
      </c>
      <c r="Q181" s="205">
        <f>'ROLL+VL ILR TL+NI'!AG75</f>
        <v>4839.2</v>
      </c>
      <c r="S181" s="171" t="str">
        <f>'ROLL+VL PVE TL+NI '!AC75</f>
        <v>fév</v>
      </c>
      <c r="T181" s="205">
        <f>'ROLL+VL PVE TL+NI '!AD75</f>
        <v>6231</v>
      </c>
      <c r="U181" s="205">
        <f>'ROLL+VL PVE TL+NI '!AE75</f>
        <v>8633</v>
      </c>
      <c r="V181" s="205">
        <f>'ROLL+VL PVE TL+NI '!AF75</f>
        <v>9145</v>
      </c>
      <c r="W181" s="205">
        <f>'ROLL+VL PVE TL+NI '!AG75</f>
        <v>10481</v>
      </c>
      <c r="Y181" s="171" t="str">
        <f>'ROLL PRO TL+NI'!AC75</f>
        <v>fév</v>
      </c>
      <c r="Z181" s="205">
        <f>'ROLL PRO TL+NI'!AD75</f>
        <v>6969</v>
      </c>
      <c r="AA181" s="205">
        <f>'ROLL PRO TL+NI'!AE75</f>
        <v>5919</v>
      </c>
      <c r="AB181" s="205">
        <f>'ROLL PRO TL+NI'!AF75</f>
        <v>5099</v>
      </c>
      <c r="AC181" s="205">
        <f>'ROLL PRO TL+NI'!AG75</f>
        <v>6072</v>
      </c>
      <c r="AE181" s="155"/>
      <c r="AF181" s="171" t="s">
        <v>37</v>
      </c>
      <c r="AG181" s="205">
        <f t="shared" ref="AG181:AG191" si="13">B181+H181+N181+T181+Z181</f>
        <v>96080.2</v>
      </c>
      <c r="AH181" s="205">
        <f t="shared" si="10"/>
        <v>97533</v>
      </c>
      <c r="AI181" s="205">
        <f t="shared" si="11"/>
        <v>106380.8</v>
      </c>
      <c r="AJ181" s="205">
        <f t="shared" si="12"/>
        <v>119164.8</v>
      </c>
    </row>
    <row r="182" spans="1:41" x14ac:dyDescent="0.25">
      <c r="A182" s="171" t="str">
        <f>'ROLL+VL AJA TL+NI '!AC76</f>
        <v>mar</v>
      </c>
      <c r="B182" s="205">
        <f>'ROLL+VL AJA TL+NI '!AD76</f>
        <v>33282.199999999997</v>
      </c>
      <c r="C182" s="205">
        <f>'ROLL+VL AJA TL+NI '!AE76</f>
        <v>36541.199999999997</v>
      </c>
      <c r="D182" s="205">
        <f>'ROLL+VL AJA TL+NI '!AF76</f>
        <v>35346</v>
      </c>
      <c r="E182" s="205">
        <f>'ROLL+VL AJA TL+NI '!AG76</f>
        <v>50253.2</v>
      </c>
      <c r="G182" s="171" t="str">
        <f>'ROLL+VL BAS TL+NI'!AC76</f>
        <v>mar</v>
      </c>
      <c r="H182" s="205">
        <f>'ROLL+VL BAS TL+NI'!AD76</f>
        <v>57474.600000000006</v>
      </c>
      <c r="I182" s="205">
        <f>'ROLL+VL BAS TL+NI'!AE76</f>
        <v>66529.2</v>
      </c>
      <c r="J182" s="205">
        <f>'ROLL+VL BAS TL+NI'!AF76</f>
        <v>65856.800000000003</v>
      </c>
      <c r="K182" s="205">
        <f>'ROLL+VL BAS TL+NI'!AG76</f>
        <v>71904</v>
      </c>
      <c r="M182" s="171" t="str">
        <f>'ROLL+VL ILR TL+NI'!AC76</f>
        <v>mar</v>
      </c>
      <c r="N182" s="205">
        <f>'ROLL+VL ILR TL+NI'!AD76</f>
        <v>4547</v>
      </c>
      <c r="O182" s="205">
        <f>'ROLL+VL ILR TL+NI'!AE76</f>
        <v>2418</v>
      </c>
      <c r="P182" s="205">
        <f>'ROLL+VL ILR TL+NI'!AF76</f>
        <v>5938</v>
      </c>
      <c r="Q182" s="205">
        <f>'ROLL+VL ILR TL+NI'!AG76</f>
        <v>6801</v>
      </c>
      <c r="S182" s="171" t="str">
        <f>'ROLL+VL PVE TL+NI '!AC76</f>
        <v>mar</v>
      </c>
      <c r="T182" s="205">
        <f>'ROLL+VL PVE TL+NI '!AD76</f>
        <v>8167</v>
      </c>
      <c r="U182" s="205">
        <f>'ROLL+VL PVE TL+NI '!AE76</f>
        <v>9301</v>
      </c>
      <c r="V182" s="205">
        <f>'ROLL+VL PVE TL+NI '!AF76</f>
        <v>9357</v>
      </c>
      <c r="W182" s="205">
        <f>'ROLL+VL PVE TL+NI '!AG76</f>
        <v>16158</v>
      </c>
      <c r="Y182" s="171" t="str">
        <f>'ROLL PRO TL+NI'!AC76</f>
        <v>mar</v>
      </c>
      <c r="Z182" s="205">
        <f>'ROLL PRO TL+NI'!AD76</f>
        <v>8657</v>
      </c>
      <c r="AA182" s="205">
        <f>'ROLL PRO TL+NI'!AE76</f>
        <v>8287</v>
      </c>
      <c r="AB182" s="205">
        <f>'ROLL PRO TL+NI'!AF76</f>
        <v>6890</v>
      </c>
      <c r="AC182" s="205">
        <f>'ROLL PRO TL+NI'!AG76</f>
        <v>4835</v>
      </c>
      <c r="AE182" s="155"/>
      <c r="AF182" s="171" t="s">
        <v>38</v>
      </c>
      <c r="AG182" s="205">
        <f t="shared" si="13"/>
        <v>112127.8</v>
      </c>
      <c r="AH182" s="205">
        <f t="shared" si="10"/>
        <v>123076.4</v>
      </c>
      <c r="AI182" s="205">
        <f t="shared" si="11"/>
        <v>123387.8</v>
      </c>
      <c r="AJ182" s="205">
        <f t="shared" si="12"/>
        <v>149951.20000000001</v>
      </c>
    </row>
    <row r="183" spans="1:41" x14ac:dyDescent="0.25">
      <c r="A183" s="171" t="str">
        <f>'ROLL+VL AJA TL+NI '!AC77</f>
        <v>avr</v>
      </c>
      <c r="B183" s="205">
        <f>'ROLL+VL AJA TL+NI '!AD77</f>
        <v>28346</v>
      </c>
      <c r="C183" s="205">
        <f>'ROLL+VL AJA TL+NI '!AE77</f>
        <v>25065</v>
      </c>
      <c r="D183" s="205">
        <f>'ROLL+VL AJA TL+NI '!AF77</f>
        <v>28339.800000000003</v>
      </c>
      <c r="E183" s="205">
        <f>'ROLL+VL AJA TL+NI '!AG77</f>
        <v>27530</v>
      </c>
      <c r="G183" s="171" t="str">
        <f>'ROLL+VL BAS TL+NI'!AC77</f>
        <v>avr</v>
      </c>
      <c r="H183" s="205">
        <f>'ROLL+VL BAS TL+NI'!AD77</f>
        <v>67060.800000000003</v>
      </c>
      <c r="I183" s="205">
        <f>'ROLL+VL BAS TL+NI'!AE77</f>
        <v>63125</v>
      </c>
      <c r="J183" s="205">
        <f>'ROLL+VL BAS TL+NI'!AF77</f>
        <v>62594.6</v>
      </c>
      <c r="K183" s="205">
        <f>'ROLL+VL BAS TL+NI'!AG77</f>
        <v>65273.4</v>
      </c>
      <c r="M183" s="171" t="str">
        <f>'ROLL+VL ILR TL+NI'!AC77</f>
        <v>avr</v>
      </c>
      <c r="N183" s="205">
        <f>'ROLL+VL ILR TL+NI'!AD77</f>
        <v>2926.3999999999996</v>
      </c>
      <c r="O183" s="205">
        <f>'ROLL+VL ILR TL+NI'!AE77</f>
        <v>4018</v>
      </c>
      <c r="P183" s="205">
        <f>'ROLL+VL ILR TL+NI'!AF77</f>
        <v>2510.3999999999996</v>
      </c>
      <c r="Q183" s="205">
        <f>'ROLL+VL ILR TL+NI'!AG77</f>
        <v>1714.5999999999995</v>
      </c>
      <c r="S183" s="171" t="str">
        <f>'ROLL+VL PVE TL+NI '!AC77</f>
        <v>avr</v>
      </c>
      <c r="T183" s="205">
        <f>'ROLL+VL PVE TL+NI '!AD77</f>
        <v>11163</v>
      </c>
      <c r="U183" s="205">
        <f>'ROLL+VL PVE TL+NI '!AE77</f>
        <v>11519</v>
      </c>
      <c r="V183" s="205">
        <f>'ROLL+VL PVE TL+NI '!AF77</f>
        <v>12561</v>
      </c>
      <c r="W183" s="205">
        <f>'ROLL+VL PVE TL+NI '!AG77</f>
        <v>12826.4</v>
      </c>
      <c r="Y183" s="171" t="str">
        <f>'ROLL PRO TL+NI'!AC77</f>
        <v>avr</v>
      </c>
      <c r="Z183" s="205">
        <f>'ROLL PRO TL+NI'!AD77</f>
        <v>9003</v>
      </c>
      <c r="AA183" s="205">
        <f>'ROLL PRO TL+NI'!AE77</f>
        <v>8394</v>
      </c>
      <c r="AB183" s="205">
        <f>'ROLL PRO TL+NI'!AF77</f>
        <v>8376</v>
      </c>
      <c r="AC183" s="205">
        <f>'ROLL PRO TL+NI'!AG77</f>
        <v>7425</v>
      </c>
      <c r="AE183" s="155"/>
      <c r="AF183" s="171" t="s">
        <v>39</v>
      </c>
      <c r="AG183" s="205">
        <f t="shared" si="13"/>
        <v>118499.2</v>
      </c>
      <c r="AH183" s="205">
        <f t="shared" si="10"/>
        <v>112121</v>
      </c>
      <c r="AI183" s="205">
        <f t="shared" si="11"/>
        <v>114381.79999999999</v>
      </c>
      <c r="AJ183" s="205">
        <f t="shared" si="12"/>
        <v>114769.4</v>
      </c>
    </row>
    <row r="184" spans="1:41" x14ac:dyDescent="0.25">
      <c r="A184" s="171" t="str">
        <f>'ROLL+VL AJA TL+NI '!AC78</f>
        <v>mai</v>
      </c>
      <c r="B184" s="205">
        <f>'ROLL+VL AJA TL+NI '!AD78</f>
        <v>28991.32</v>
      </c>
      <c r="C184" s="205">
        <f>'ROLL+VL AJA TL+NI '!AE78</f>
        <v>33261.64</v>
      </c>
      <c r="D184" s="205">
        <f>'ROLL+VL AJA TL+NI '!AF78</f>
        <v>45707.96</v>
      </c>
      <c r="E184" s="205">
        <f>'ROLL+VL AJA TL+NI '!AG78</f>
        <v>48652.68</v>
      </c>
      <c r="G184" s="171" t="str">
        <f>'ROLL+VL BAS TL+NI'!AC78</f>
        <v>mai</v>
      </c>
      <c r="H184" s="205">
        <f>'ROLL+VL BAS TL+NI'!AD78</f>
        <v>73282.880000000005</v>
      </c>
      <c r="I184" s="205">
        <f>'ROLL+VL BAS TL+NI'!AE78</f>
        <v>66924.399999999994</v>
      </c>
      <c r="J184" s="205">
        <f>'ROLL+VL BAS TL+NI'!AF78</f>
        <v>71286.16</v>
      </c>
      <c r="K184" s="205">
        <f>'ROLL+VL BAS TL+NI'!AG78</f>
        <v>78507.520000000004</v>
      </c>
      <c r="M184" s="171" t="str">
        <f>'ROLL+VL ILR TL+NI'!AC78</f>
        <v>mai</v>
      </c>
      <c r="N184" s="205">
        <f>'ROLL+VL ILR TL+NI'!AD78</f>
        <v>2280.2399999999998</v>
      </c>
      <c r="O184" s="205">
        <f>'ROLL+VL ILR TL+NI'!AE78</f>
        <v>2947.04</v>
      </c>
      <c r="P184" s="205">
        <f>'ROLL+VL ILR TL+NI'!AF78</f>
        <v>6080.24</v>
      </c>
      <c r="Q184" s="205">
        <f>'ROLL+VL ILR TL+NI'!AG78</f>
        <v>2048.2799999999997</v>
      </c>
      <c r="S184" s="171" t="str">
        <f>'ROLL+VL PVE TL+NI '!AC78</f>
        <v>mai</v>
      </c>
      <c r="T184" s="205">
        <f>'ROLL+VL PVE TL+NI '!AD78</f>
        <v>12618</v>
      </c>
      <c r="U184" s="205">
        <f>'ROLL+VL PVE TL+NI '!AE78</f>
        <v>12486</v>
      </c>
      <c r="V184" s="205">
        <f>'ROLL+VL PVE TL+NI '!AF78</f>
        <v>12816</v>
      </c>
      <c r="W184" s="205">
        <f>'ROLL+VL PVE TL+NI '!AG78</f>
        <v>16680</v>
      </c>
      <c r="Y184" s="171" t="str">
        <f>'ROLL PRO TL+NI'!AC78</f>
        <v>mai</v>
      </c>
      <c r="Z184" s="205">
        <f>'ROLL PRO TL+NI'!AD78</f>
        <v>10057</v>
      </c>
      <c r="AA184" s="205">
        <f>'ROLL PRO TL+NI'!AE78</f>
        <v>9106</v>
      </c>
      <c r="AB184" s="205">
        <f>'ROLL PRO TL+NI'!AF78</f>
        <v>8752</v>
      </c>
      <c r="AC184" s="205">
        <f>'ROLL PRO TL+NI'!AG78</f>
        <v>8494</v>
      </c>
      <c r="AE184" s="155"/>
      <c r="AF184" s="171" t="s">
        <v>40</v>
      </c>
      <c r="AG184" s="205">
        <f t="shared" si="13"/>
        <v>127229.44000000002</v>
      </c>
      <c r="AH184" s="205">
        <f t="shared" si="10"/>
        <v>124725.07999999999</v>
      </c>
      <c r="AI184" s="205">
        <f t="shared" si="11"/>
        <v>144642.35999999999</v>
      </c>
      <c r="AJ184" s="205">
        <f t="shared" si="12"/>
        <v>154382.48000000001</v>
      </c>
    </row>
    <row r="185" spans="1:41" x14ac:dyDescent="0.25">
      <c r="A185" s="171" t="str">
        <f>'ROLL+VL AJA TL+NI '!AC79</f>
        <v>juin</v>
      </c>
      <c r="B185" s="205">
        <f>'ROLL+VL AJA TL+NI '!AD79</f>
        <v>36976.520000000004</v>
      </c>
      <c r="C185" s="205">
        <f>'ROLL+VL AJA TL+NI '!AE79</f>
        <v>40515.520000000004</v>
      </c>
      <c r="D185" s="205">
        <f>'ROLL+VL AJA TL+NI '!AF79</f>
        <v>43572.6</v>
      </c>
      <c r="E185" s="205">
        <f>'ROLL+VL AJA TL+NI '!AG79</f>
        <v>53497.8</v>
      </c>
      <c r="G185" s="171" t="str">
        <f>'ROLL+VL BAS TL+NI'!AC79</f>
        <v>juin</v>
      </c>
      <c r="H185" s="205">
        <f>'ROLL+VL BAS TL+NI'!AD79</f>
        <v>80087.48</v>
      </c>
      <c r="I185" s="205">
        <f>'ROLL+VL BAS TL+NI'!AE79</f>
        <v>79371.08</v>
      </c>
      <c r="J185" s="205">
        <f>'ROLL+VL BAS TL+NI'!AF79</f>
        <v>74171.56</v>
      </c>
      <c r="K185" s="205">
        <f>'ROLL+VL BAS TL+NI'!AG79</f>
        <v>79093.040000000008</v>
      </c>
      <c r="M185" s="171" t="str">
        <f>'ROLL+VL ILR TL+NI'!AC79</f>
        <v>juin</v>
      </c>
      <c r="N185" s="205">
        <f>'ROLL+VL ILR TL+NI'!AD79</f>
        <v>1943</v>
      </c>
      <c r="O185" s="205">
        <f>'ROLL+VL ILR TL+NI'!AE79</f>
        <v>2239.6000000000004</v>
      </c>
      <c r="P185" s="205">
        <f>'ROLL+VL ILR TL+NI'!AF79</f>
        <v>4213.92</v>
      </c>
      <c r="Q185" s="205">
        <f>'ROLL+VL ILR TL+NI'!AG79</f>
        <v>3585.88</v>
      </c>
      <c r="S185" s="171" t="str">
        <f>'ROLL+VL PVE TL+NI '!AC79</f>
        <v>juin</v>
      </c>
      <c r="T185" s="205">
        <f>'ROLL+VL PVE TL+NI '!AD79</f>
        <v>10904</v>
      </c>
      <c r="U185" s="205">
        <f>'ROLL+VL PVE TL+NI '!AE79</f>
        <v>14863</v>
      </c>
      <c r="V185" s="205">
        <f>'ROLL+VL PVE TL+NI '!AF79</f>
        <v>17456.12</v>
      </c>
      <c r="W185" s="205">
        <f>'ROLL+VL PVE TL+NI '!AG79</f>
        <v>19449.96</v>
      </c>
      <c r="Y185" s="171" t="str">
        <f>'ROLL PRO TL+NI'!AC79</f>
        <v>juin</v>
      </c>
      <c r="Z185" s="205">
        <f>'ROLL PRO TL+NI'!AD79</f>
        <v>12429</v>
      </c>
      <c r="AA185" s="205">
        <f>'ROLL PRO TL+NI'!AE79</f>
        <v>10027</v>
      </c>
      <c r="AB185" s="205">
        <f>'ROLL PRO TL+NI'!AF79</f>
        <v>23412</v>
      </c>
      <c r="AC185" s="205">
        <f>'ROLL PRO TL+NI'!AG79</f>
        <v>10245</v>
      </c>
      <c r="AE185" s="155"/>
      <c r="AF185" s="171" t="s">
        <v>41</v>
      </c>
      <c r="AG185" s="205">
        <f t="shared" si="13"/>
        <v>142340</v>
      </c>
      <c r="AH185" s="205">
        <f t="shared" si="10"/>
        <v>147016.20000000001</v>
      </c>
      <c r="AI185" s="205">
        <f t="shared" si="11"/>
        <v>162826.20000000001</v>
      </c>
      <c r="AJ185" s="205">
        <f t="shared" si="12"/>
        <v>165871.68000000002</v>
      </c>
    </row>
    <row r="186" spans="1:41" x14ac:dyDescent="0.25">
      <c r="A186" s="171" t="str">
        <f>'ROLL+VL AJA TL+NI '!AC80</f>
        <v>juil</v>
      </c>
      <c r="B186" s="205">
        <f>'ROLL+VL AJA TL+NI '!AD80</f>
        <v>40289.199999999997</v>
      </c>
      <c r="C186" s="205">
        <f>'ROLL+VL AJA TL+NI '!AE80</f>
        <v>43534.68</v>
      </c>
      <c r="D186" s="205">
        <f>'ROLL+VL AJA TL+NI '!AF80</f>
        <v>36382.239999999998</v>
      </c>
      <c r="E186" s="205">
        <f>'ROLL+VL AJA TL+NI '!AG80</f>
        <v>41544.160000000003</v>
      </c>
      <c r="G186" s="171" t="str">
        <f>'ROLL+VL BAS TL+NI'!AC80</f>
        <v>juil</v>
      </c>
      <c r="H186" s="205">
        <f>'ROLL+VL BAS TL+NI'!AD80</f>
        <v>77918.320000000007</v>
      </c>
      <c r="I186" s="205">
        <f>'ROLL+VL BAS TL+NI'!AE80</f>
        <v>78084.72</v>
      </c>
      <c r="J186" s="205">
        <f>'ROLL+VL BAS TL+NI'!AF80</f>
        <v>72222.28</v>
      </c>
      <c r="K186" s="205">
        <f>'ROLL+VL BAS TL+NI'!AG80</f>
        <v>72479.8</v>
      </c>
      <c r="M186" s="171" t="str">
        <f>'ROLL+VL ILR TL+NI'!AC80</f>
        <v>juil</v>
      </c>
      <c r="N186" s="205">
        <f>'ROLL+VL ILR TL+NI'!AD80</f>
        <v>-4254.5200000000004</v>
      </c>
      <c r="O186" s="205">
        <f>'ROLL+VL ILR TL+NI'!AE80</f>
        <v>-573.95999999999913</v>
      </c>
      <c r="P186" s="205">
        <f>'ROLL+VL ILR TL+NI'!AF80</f>
        <v>-625.51999999999862</v>
      </c>
      <c r="Q186" s="205">
        <f>'ROLL+VL ILR TL+NI'!AG80</f>
        <v>1447.0400000000009</v>
      </c>
      <c r="S186" s="171" t="str">
        <f>'ROLL+VL PVE TL+NI '!AC80</f>
        <v>juil</v>
      </c>
      <c r="T186" s="205">
        <f>'ROLL+VL PVE TL+NI '!AD80</f>
        <v>10812</v>
      </c>
      <c r="U186" s="205">
        <f>'ROLL+VL PVE TL+NI '!AE80</f>
        <v>16049</v>
      </c>
      <c r="V186" s="205">
        <f>'ROLL+VL PVE TL+NI '!AF80</f>
        <v>18427.88</v>
      </c>
      <c r="W186" s="205">
        <f>'ROLL+VL PVE TL+NI '!AG80</f>
        <v>17362.88</v>
      </c>
      <c r="Y186" s="171" t="str">
        <f>'ROLL PRO TL+NI'!AC80</f>
        <v>juil</v>
      </c>
      <c r="Z186" s="205">
        <f>'ROLL PRO TL+NI'!AD80</f>
        <v>10650</v>
      </c>
      <c r="AA186" s="205">
        <f>'ROLL PRO TL+NI'!AE80</f>
        <v>13055</v>
      </c>
      <c r="AB186" s="205">
        <f>'ROLL PRO TL+NI'!AF80</f>
        <v>28843</v>
      </c>
      <c r="AC186" s="205">
        <f>'ROLL PRO TL+NI'!AG80</f>
        <v>13228</v>
      </c>
      <c r="AE186" s="155"/>
      <c r="AF186" s="171" t="s">
        <v>42</v>
      </c>
      <c r="AG186" s="205">
        <f t="shared" si="13"/>
        <v>135415</v>
      </c>
      <c r="AH186" s="205">
        <f t="shared" si="10"/>
        <v>150149.44</v>
      </c>
      <c r="AI186" s="205">
        <f t="shared" si="11"/>
        <v>155249.88</v>
      </c>
      <c r="AJ186" s="205">
        <f t="shared" si="12"/>
        <v>146061.88</v>
      </c>
    </row>
    <row r="187" spans="1:41" x14ac:dyDescent="0.25">
      <c r="A187" s="171" t="str">
        <f>'ROLL+VL AJA TL+NI '!AC81</f>
        <v>aou</v>
      </c>
      <c r="B187" s="205">
        <f>'ROLL+VL AJA TL+NI '!AD81</f>
        <v>26101.56</v>
      </c>
      <c r="C187" s="205">
        <f>'ROLL+VL AJA TL+NI '!AE81</f>
        <v>28613.280000000002</v>
      </c>
      <c r="D187" s="205">
        <f>'ROLL+VL AJA TL+NI '!AF81</f>
        <v>29100.760000000002</v>
      </c>
      <c r="E187" s="205">
        <f>'ROLL+VL AJA TL+NI '!AG81</f>
        <v>31727.880000000005</v>
      </c>
      <c r="G187" s="171" t="str">
        <f>'ROLL+VL BAS TL+NI'!AC81</f>
        <v>aou</v>
      </c>
      <c r="H187" s="205">
        <f>'ROLL+VL BAS TL+NI'!AD81</f>
        <v>59902</v>
      </c>
      <c r="I187" s="205">
        <f>'ROLL+VL BAS TL+NI'!AE81</f>
        <v>61575.72</v>
      </c>
      <c r="J187" s="205">
        <f>'ROLL+VL BAS TL+NI'!AF81</f>
        <v>68119.839999999997</v>
      </c>
      <c r="K187" s="205">
        <f>'ROLL+VL BAS TL+NI'!AG81</f>
        <v>67307.28</v>
      </c>
      <c r="M187" s="171" t="str">
        <f>'ROLL+VL ILR TL+NI'!AC81</f>
        <v>aou</v>
      </c>
      <c r="N187" s="205">
        <f>'ROLL+VL ILR TL+NI'!AD81</f>
        <v>-4635.5999999999985</v>
      </c>
      <c r="O187" s="205">
        <f>'ROLL+VL ILR TL+NI'!AE81</f>
        <v>-5885.68</v>
      </c>
      <c r="P187" s="205">
        <f>'ROLL+VL ILR TL+NI'!AF81</f>
        <v>-2650.6800000000003</v>
      </c>
      <c r="Q187" s="205">
        <f>'ROLL+VL ILR TL+NI'!AG81</f>
        <v>718.44000000000233</v>
      </c>
      <c r="S187" s="171" t="str">
        <f>'ROLL+VL PVE TL+NI '!AC81</f>
        <v>aou</v>
      </c>
      <c r="T187" s="205">
        <f>'ROLL+VL PVE TL+NI '!AD81</f>
        <v>11045</v>
      </c>
      <c r="U187" s="205">
        <f>'ROLL+VL PVE TL+NI '!AE81</f>
        <v>13245</v>
      </c>
      <c r="V187" s="205">
        <f>'ROLL+VL PVE TL+NI '!AF81</f>
        <v>13028.880000000001</v>
      </c>
      <c r="W187" s="205">
        <f>'ROLL+VL PVE TL+NI '!AG81</f>
        <v>15447</v>
      </c>
      <c r="Y187" s="171" t="str">
        <f>'ROLL PRO TL+NI'!AC81</f>
        <v>aou</v>
      </c>
      <c r="Z187" s="205">
        <f>'ROLL PRO TL+NI'!AD81</f>
        <v>13211</v>
      </c>
      <c r="AA187" s="205">
        <f>'ROLL PRO TL+NI'!AE81</f>
        <v>13530</v>
      </c>
      <c r="AB187" s="205">
        <f>'ROLL PRO TL+NI'!AF81</f>
        <v>28587</v>
      </c>
      <c r="AC187" s="205">
        <f>'ROLL PRO TL+NI'!AG81</f>
        <v>11699</v>
      </c>
      <c r="AE187" s="155"/>
      <c r="AF187" s="171" t="s">
        <v>43</v>
      </c>
      <c r="AG187" s="205">
        <f t="shared" si="13"/>
        <v>105623.95999999999</v>
      </c>
      <c r="AH187" s="205">
        <f t="shared" si="10"/>
        <v>111078.32</v>
      </c>
      <c r="AI187" s="205">
        <f t="shared" si="11"/>
        <v>136185.80000000002</v>
      </c>
      <c r="AJ187" s="205">
        <f t="shared" si="12"/>
        <v>126899.6</v>
      </c>
    </row>
    <row r="188" spans="1:41" x14ac:dyDescent="0.25">
      <c r="A188" s="171" t="str">
        <f>'ROLL+VL AJA TL+NI '!AC82</f>
        <v>sep</v>
      </c>
      <c r="B188" s="205">
        <f>'ROLL+VL AJA TL+NI '!AD82</f>
        <v>30964.48</v>
      </c>
      <c r="C188" s="205">
        <f>'ROLL+VL AJA TL+NI '!AE82</f>
        <v>33820.720000000001</v>
      </c>
      <c r="D188" s="205">
        <f>'ROLL+VL AJA TL+NI '!AF82</f>
        <v>36035.440000000002</v>
      </c>
      <c r="E188" s="205">
        <f>'ROLL+VL AJA TL+NI '!AG82</f>
        <v>41990.720000000001</v>
      </c>
      <c r="G188" s="171" t="str">
        <f>'ROLL+VL BAS TL+NI'!AC82</f>
        <v>sep</v>
      </c>
      <c r="H188" s="205">
        <f>'ROLL+VL BAS TL+NI'!AD82</f>
        <v>65807.040000000008</v>
      </c>
      <c r="I188" s="205">
        <f>'ROLL+VL BAS TL+NI'!AE82</f>
        <v>68674.2</v>
      </c>
      <c r="J188" s="205">
        <f>'ROLL+VL BAS TL+NI'!AF82</f>
        <v>66271.44</v>
      </c>
      <c r="K188" s="205">
        <f>'ROLL+VL BAS TL+NI'!AG82</f>
        <v>57339.88</v>
      </c>
      <c r="M188" s="171" t="str">
        <f>'ROLL+VL ILR TL+NI'!AC82</f>
        <v>sep</v>
      </c>
      <c r="N188" s="205">
        <f>'ROLL+VL ILR TL+NI'!AD82</f>
        <v>3743.76</v>
      </c>
      <c r="O188" s="205">
        <f>'ROLL+VL ILR TL+NI'!AE82</f>
        <v>4796</v>
      </c>
      <c r="P188" s="205">
        <f>'ROLL+VL ILR TL+NI'!AF82</f>
        <v>2321.2000000000007</v>
      </c>
      <c r="Q188" s="205">
        <f>'ROLL+VL ILR TL+NI'!AG82</f>
        <v>3777.76</v>
      </c>
      <c r="S188" s="171" t="str">
        <f>'ROLL+VL PVE TL+NI '!AC82</f>
        <v>sep</v>
      </c>
      <c r="T188" s="205">
        <f>'ROLL+VL PVE TL+NI '!AD82</f>
        <v>9775</v>
      </c>
      <c r="U188" s="205">
        <f>'ROLL+VL PVE TL+NI '!AE82</f>
        <v>11332</v>
      </c>
      <c r="V188" s="205">
        <f>'ROLL+VL PVE TL+NI '!AF82</f>
        <v>12001.24</v>
      </c>
      <c r="W188" s="205">
        <f>'ROLL+VL PVE TL+NI '!AG82</f>
        <v>13862.96</v>
      </c>
      <c r="Y188" s="171" t="str">
        <f>'ROLL PRO TL+NI'!AC82</f>
        <v>sep</v>
      </c>
      <c r="Z188" s="205">
        <f>'ROLL PRO TL+NI'!AD82</f>
        <v>9450</v>
      </c>
      <c r="AA188" s="205">
        <f>'ROLL PRO TL+NI'!AE82</f>
        <v>9428</v>
      </c>
      <c r="AB188" s="205">
        <f>'ROLL PRO TL+NI'!AF82</f>
        <v>22946</v>
      </c>
      <c r="AC188" s="205">
        <f>'ROLL PRO TL+NI'!AG82</f>
        <v>9035</v>
      </c>
      <c r="AE188" s="155"/>
      <c r="AF188" s="171" t="s">
        <v>44</v>
      </c>
      <c r="AG188" s="205">
        <f t="shared" si="13"/>
        <v>119740.28</v>
      </c>
      <c r="AH188" s="205">
        <f t="shared" si="10"/>
        <v>128050.92</v>
      </c>
      <c r="AI188" s="205">
        <f t="shared" si="11"/>
        <v>139575.32</v>
      </c>
      <c r="AJ188" s="205">
        <f t="shared" si="12"/>
        <v>126006.32</v>
      </c>
    </row>
    <row r="189" spans="1:41" x14ac:dyDescent="0.25">
      <c r="A189" s="171" t="str">
        <f>'ROLL+VL AJA TL+NI '!AC83</f>
        <v>oct</v>
      </c>
      <c r="B189" s="205">
        <f>'ROLL+VL AJA TL+NI '!AD83</f>
        <v>34804.800000000003</v>
      </c>
      <c r="C189" s="205">
        <f>'ROLL+VL AJA TL+NI '!AE83</f>
        <v>32751.8</v>
      </c>
      <c r="D189" s="205">
        <f>'ROLL+VL AJA TL+NI '!AF83</f>
        <v>30220.400000000001</v>
      </c>
      <c r="E189" s="205">
        <f>'ROLL+VL AJA TL+NI '!AG83</f>
        <v>37688.800000000003</v>
      </c>
      <c r="G189" s="171" t="str">
        <f>'ROLL+VL BAS TL+NI'!AC83</f>
        <v>oct</v>
      </c>
      <c r="H189" s="205">
        <f>'ROLL+VL BAS TL+NI'!AD83</f>
        <v>61393.8</v>
      </c>
      <c r="I189" s="205">
        <f>'ROLL+VL BAS TL+NI'!AE83</f>
        <v>52758</v>
      </c>
      <c r="J189" s="205">
        <f>'ROLL+VL BAS TL+NI'!AF83</f>
        <v>55874</v>
      </c>
      <c r="K189" s="205">
        <f>'ROLL+VL BAS TL+NI'!AG83</f>
        <v>51489.2</v>
      </c>
      <c r="M189" s="171" t="str">
        <f>'ROLL+VL ILR TL+NI'!AC83</f>
        <v>oct</v>
      </c>
      <c r="N189" s="205">
        <f>'ROLL+VL ILR TL+NI'!AD83</f>
        <v>3565.2</v>
      </c>
      <c r="O189" s="205">
        <f>'ROLL+VL ILR TL+NI'!AE83</f>
        <v>6560.2</v>
      </c>
      <c r="P189" s="205">
        <f>'ROLL+VL ILR TL+NI'!AF83</f>
        <v>5302.4</v>
      </c>
      <c r="Q189" s="205">
        <f>'ROLL+VL ILR TL+NI'!AG83</f>
        <v>4353.5999999999995</v>
      </c>
      <c r="S189" s="171" t="str">
        <f>'ROLL+VL PVE TL+NI '!AC83</f>
        <v>oct</v>
      </c>
      <c r="T189" s="205">
        <f>'ROLL+VL PVE TL+NI '!AD83</f>
        <v>9874</v>
      </c>
      <c r="U189" s="205">
        <f>'ROLL+VL PVE TL+NI '!AE83</f>
        <v>8671</v>
      </c>
      <c r="V189" s="205">
        <f>'ROLL+VL PVE TL+NI '!AF83</f>
        <v>4060.8000000000011</v>
      </c>
      <c r="W189" s="205">
        <f>'ROLL+VL PVE TL+NI '!AG83</f>
        <v>12312.4</v>
      </c>
      <c r="Y189" s="171" t="str">
        <f>'ROLL PRO TL+NI'!AC83</f>
        <v>oct</v>
      </c>
      <c r="Z189" s="205">
        <f>'ROLL PRO TL+NI'!AD83</f>
        <v>9177</v>
      </c>
      <c r="AA189" s="205">
        <f>'ROLL PRO TL+NI'!AE83</f>
        <v>8422</v>
      </c>
      <c r="AB189" s="205">
        <f>'ROLL PRO TL+NI'!AF83</f>
        <v>9279</v>
      </c>
      <c r="AC189" s="205">
        <f>'ROLL PRO TL+NI'!AG83</f>
        <v>7641</v>
      </c>
      <c r="AE189" s="155"/>
      <c r="AF189" s="171" t="s">
        <v>45</v>
      </c>
      <c r="AG189" s="205">
        <f t="shared" si="13"/>
        <v>118814.8</v>
      </c>
      <c r="AH189" s="205">
        <f t="shared" si="10"/>
        <v>109163</v>
      </c>
      <c r="AI189" s="205">
        <f t="shared" si="11"/>
        <v>104736.59999999999</v>
      </c>
      <c r="AJ189" s="205">
        <f t="shared" si="12"/>
        <v>113485</v>
      </c>
    </row>
    <row r="190" spans="1:41" x14ac:dyDescent="0.25">
      <c r="A190" s="171" t="str">
        <f>'ROLL+VL AJA TL+NI '!AC84</f>
        <v>nov</v>
      </c>
      <c r="B190" s="205">
        <f>'ROLL+VL AJA TL+NI '!AD84</f>
        <v>29953.200000000001</v>
      </c>
      <c r="C190" s="205">
        <f>'ROLL+VL AJA TL+NI '!AE84</f>
        <v>30411.4</v>
      </c>
      <c r="D190" s="205">
        <f>'ROLL+VL AJA TL+NI '!AF84</f>
        <v>34713.800000000003</v>
      </c>
      <c r="E190" s="207">
        <f>SUM(E180:E189)*F190</f>
        <v>41135.114125939413</v>
      </c>
      <c r="F190" s="123">
        <f>D190/SUM(D180:D189)</f>
        <v>0.10153553120581524</v>
      </c>
      <c r="G190" s="171" t="str">
        <f>'ROLL+VL BAS TL+NI'!AC84</f>
        <v>nov</v>
      </c>
      <c r="H190" s="205">
        <f>'ROLL+VL BAS TL+NI'!AD84</f>
        <v>51769.2</v>
      </c>
      <c r="I190" s="205">
        <f>'ROLL+VL BAS TL+NI'!AE84</f>
        <v>52570.8</v>
      </c>
      <c r="J190" s="205">
        <f>'ROLL+VL BAS TL+NI'!AF84</f>
        <v>58656</v>
      </c>
      <c r="K190" s="207">
        <f>SUM(K180:K189)*L190</f>
        <v>59882.475331814589</v>
      </c>
      <c r="L190" s="123">
        <f>J190/SUM(J180:J189)</f>
        <v>9.0333184934095395E-2</v>
      </c>
      <c r="M190" s="171" t="str">
        <f>'ROLL+VL ILR TL+NI'!AC84</f>
        <v>nov</v>
      </c>
      <c r="N190" s="205">
        <f>'ROLL+VL ILR TL+NI'!AD84</f>
        <v>-1934.8000000000002</v>
      </c>
      <c r="O190" s="205">
        <f>'ROLL+VL ILR TL+NI'!AE84</f>
        <v>3176</v>
      </c>
      <c r="P190" s="205">
        <f>'ROLL+VL ILR TL+NI'!AF84</f>
        <v>6267</v>
      </c>
      <c r="Q190" s="207">
        <f>SUM(Q180:Q189)*R190</f>
        <v>6998.217704578512</v>
      </c>
      <c r="R190" s="123">
        <f>P190/SUM(P180:P189)</f>
        <v>0.20641639790046165</v>
      </c>
      <c r="S190" s="171" t="str">
        <f>'ROLL+VL PVE TL+NI '!AC84</f>
        <v>nov</v>
      </c>
      <c r="T190" s="205">
        <f>'ROLL+VL PVE TL+NI '!AD84</f>
        <v>5959</v>
      </c>
      <c r="U190" s="205">
        <f>'ROLL+VL PVE TL+NI '!AE84</f>
        <v>5679</v>
      </c>
      <c r="V190" s="205">
        <f>'ROLL+VL PVE TL+NI '!AF84</f>
        <v>10129</v>
      </c>
      <c r="W190" s="207">
        <f>SUM(W180:W189)*X190</f>
        <v>12592.194783760013</v>
      </c>
      <c r="X190" s="123">
        <f>V190/SUM(V180:V189)</f>
        <v>8.8509633734919532E-2</v>
      </c>
      <c r="Y190" s="171" t="str">
        <f>'ROLL PRO TL+NI'!AC84</f>
        <v>nov</v>
      </c>
      <c r="Z190" s="205">
        <f>'ROLL PRO TL+NI'!AD84</f>
        <v>6302</v>
      </c>
      <c r="AA190" s="205">
        <f>'ROLL PRO TL+NI'!AE84</f>
        <v>7541</v>
      </c>
      <c r="AB190" s="205">
        <f>'ROLL PRO TL+NI'!AF84</f>
        <v>17157</v>
      </c>
      <c r="AC190" s="207">
        <f>SUM(AC180:AC189)*AD190</f>
        <v>9909.5972013210303</v>
      </c>
      <c r="AD190" s="123">
        <f>AB190/SUM(AB180:AB189)</f>
        <v>0.11682952572265159</v>
      </c>
      <c r="AE190" s="155"/>
      <c r="AF190" s="171" t="s">
        <v>46</v>
      </c>
      <c r="AG190" s="205">
        <f t="shared" si="13"/>
        <v>92048.599999999991</v>
      </c>
      <c r="AH190" s="205">
        <f t="shared" si="10"/>
        <v>99378.200000000012</v>
      </c>
      <c r="AI190" s="205">
        <f t="shared" si="11"/>
        <v>126922.8</v>
      </c>
      <c r="AJ190" s="207">
        <f t="shared" si="12"/>
        <v>130517.59914741355</v>
      </c>
      <c r="AL190" t="s">
        <v>235</v>
      </c>
    </row>
    <row r="191" spans="1:41" x14ac:dyDescent="0.25">
      <c r="A191" s="171" t="str">
        <f>'ROLL+VL AJA TL+NI '!AC85</f>
        <v>déc</v>
      </c>
      <c r="B191" s="205">
        <f>'ROLL+VL AJA TL+NI '!AD85</f>
        <v>26321.199999999997</v>
      </c>
      <c r="C191" s="205">
        <f>'ROLL+VL AJA TL+NI '!AE85</f>
        <v>26311.399999999998</v>
      </c>
      <c r="D191" s="205">
        <f>'ROLL+VL AJA TL+NI '!AF85</f>
        <v>25886.799999999999</v>
      </c>
      <c r="E191" s="207">
        <f>SUM(E180:E189)*F191</f>
        <v>30675.30700630205</v>
      </c>
      <c r="F191" s="123">
        <f>D191/SUM(D180:D189)</f>
        <v>7.5717149641315484E-2</v>
      </c>
      <c r="G191" s="171" t="str">
        <f>'ROLL+VL BAS TL+NI'!AC85</f>
        <v>déc</v>
      </c>
      <c r="H191" s="205">
        <f>'ROLL+VL BAS TL+NI'!AD85</f>
        <v>52131.6</v>
      </c>
      <c r="I191" s="205">
        <f>'ROLL+VL BAS TL+NI'!AE85</f>
        <v>51416.200000000004</v>
      </c>
      <c r="J191" s="205">
        <f>'ROLL+VL BAS TL+NI'!AF85</f>
        <v>53065</v>
      </c>
      <c r="K191" s="207">
        <f>SUM(K180:K189)*L191</f>
        <v>54174.569583380071</v>
      </c>
      <c r="L191" s="123">
        <f>J191/SUM(J180:J189)</f>
        <v>8.1722764227492029E-2</v>
      </c>
      <c r="M191" s="171" t="str">
        <f>'ROLL+VL ILR TL+NI'!AC85</f>
        <v>déc</v>
      </c>
      <c r="N191" s="205">
        <f>'ROLL+VL ILR TL+NI'!AD85</f>
        <v>-1346</v>
      </c>
      <c r="O191" s="205">
        <f>'ROLL+VL ILR TL+NI'!AE85</f>
        <v>4276</v>
      </c>
      <c r="P191" s="205">
        <f>'ROLL+VL ILR TL+NI'!AF85</f>
        <v>3785.2</v>
      </c>
      <c r="Q191" s="207">
        <f>SUM(Q180:Q189)*R191</f>
        <v>4226.8475594974598</v>
      </c>
      <c r="R191" s="123">
        <f>P191/SUM(P180:P189)</f>
        <v>0.12467326461350366</v>
      </c>
      <c r="S191" s="171" t="str">
        <f>'ROLL+VL PVE TL+NI '!AC85</f>
        <v>déc</v>
      </c>
      <c r="T191" s="205">
        <f>'ROLL+VL PVE TL+NI '!AD85</f>
        <v>6072</v>
      </c>
      <c r="U191" s="205">
        <f>'ROLL+VL PVE TL+NI '!AE85</f>
        <v>6841</v>
      </c>
      <c r="V191" s="205">
        <f>'ROLL+VL PVE TL+NI '!AF85</f>
        <v>5048.8</v>
      </c>
      <c r="W191" s="207">
        <f>SUM(W180:W189)*X191</f>
        <v>6276.5794278060566</v>
      </c>
      <c r="X191" s="123">
        <f>V191/SUM(V180:V189)</f>
        <v>4.4117626498258636E-2</v>
      </c>
      <c r="Y191" s="171" t="str">
        <f>'ROLL PRO TL+NI'!AC85</f>
        <v>déc</v>
      </c>
      <c r="Z191" s="205">
        <f>'ROLL PRO TL+NI'!AD85</f>
        <v>5379</v>
      </c>
      <c r="AA191" s="205">
        <f>'ROLL PRO TL+NI'!AE85</f>
        <v>5174</v>
      </c>
      <c r="AB191" s="205">
        <f>'ROLL PRO TL+NI'!AF85</f>
        <v>17581</v>
      </c>
      <c r="AC191" s="207">
        <f>SUM(AC180:AC189)*AD191</f>
        <v>10154.492533451365</v>
      </c>
      <c r="AD191" s="123">
        <f>AB191/SUM(AB180:AB189)</f>
        <v>0.11971672738415444</v>
      </c>
      <c r="AE191" s="155"/>
      <c r="AF191" s="171" t="s">
        <v>47</v>
      </c>
      <c r="AG191" s="205">
        <f t="shared" si="13"/>
        <v>88557.799999999988</v>
      </c>
      <c r="AH191" s="205">
        <f t="shared" si="10"/>
        <v>94018.6</v>
      </c>
      <c r="AI191" s="205">
        <f t="shared" si="11"/>
        <v>105366.8</v>
      </c>
      <c r="AJ191" s="207">
        <f t="shared" si="12"/>
        <v>105507.796110437</v>
      </c>
      <c r="AL191" s="210">
        <f>AG176+AG192</f>
        <v>1337046.1600000001</v>
      </c>
      <c r="AM191" s="210">
        <f t="shared" ref="AM191:AO191" si="14">AH176+AH192</f>
        <v>1401144.08</v>
      </c>
      <c r="AN191" s="210">
        <f t="shared" si="14"/>
        <v>1238832.3600000003</v>
      </c>
      <c r="AO191" s="210">
        <f t="shared" si="14"/>
        <v>1418363.7089575212</v>
      </c>
    </row>
    <row r="192" spans="1:41" s="182" customFormat="1" x14ac:dyDescent="0.25">
      <c r="A192" s="171" t="str">
        <f>'ROLL+VL AJA TL+NI '!AC86</f>
        <v>TOTAL</v>
      </c>
      <c r="B192" s="206">
        <f>SUM(B180:B191)</f>
        <v>371563.28</v>
      </c>
      <c r="C192" s="206">
        <f t="shared" ref="C192" si="15">SUM(C180:C191)</f>
        <v>386605.24000000005</v>
      </c>
      <c r="D192" s="206">
        <f t="shared" ref="D192" si="16">SUM(D180:D191)</f>
        <v>402488.8</v>
      </c>
      <c r="E192" s="206">
        <f>SUM(E179:E191)</f>
        <v>478957.66113224142</v>
      </c>
      <c r="G192" s="171" t="str">
        <f>'ROLL+VL BAS TL+NI'!AC86</f>
        <v>TOTAL</v>
      </c>
      <c r="H192" s="206">
        <f>SUM(H180:H191)</f>
        <v>749927.12</v>
      </c>
      <c r="I192" s="206">
        <f t="shared" ref="I192" si="17">SUM(I180:I191)</f>
        <v>754264.72</v>
      </c>
      <c r="J192" s="206">
        <f t="shared" ref="J192" si="18">SUM(J180:J191)</f>
        <v>761050.48</v>
      </c>
      <c r="K192" s="206">
        <f>SUM(K179:K191)</f>
        <v>778980.7649151946</v>
      </c>
      <c r="M192" s="171" t="str">
        <f>'ROLL+VL ILR TL+NI'!AC86</f>
        <v>TOTAL</v>
      </c>
      <c r="N192" s="206">
        <f>SUM(N180:N191)</f>
        <v>13332.68</v>
      </c>
      <c r="O192" s="206">
        <f t="shared" ref="O192" si="19">SUM(O180:O191)</f>
        <v>26876.2</v>
      </c>
      <c r="P192" s="206">
        <f t="shared" ref="P192" si="20">SUM(P180:P191)</f>
        <v>40413.159999999996</v>
      </c>
      <c r="Q192" s="206">
        <f>SUM(Q179:Q191)</f>
        <v>47145.465264075974</v>
      </c>
      <c r="S192" s="171" t="str">
        <f>'ROLL+VL PVE TL+NI '!AC86</f>
        <v>TOTAL</v>
      </c>
      <c r="T192" s="206">
        <f>SUM(T180:T191)</f>
        <v>108609</v>
      </c>
      <c r="U192" s="206">
        <f t="shared" ref="U192" si="21">SUM(U180:U191)</f>
        <v>126455</v>
      </c>
      <c r="V192" s="206">
        <f t="shared" ref="V192" si="22">SUM(V180:V191)</f>
        <v>129617.32000000002</v>
      </c>
      <c r="W192" s="206">
        <f>SUM(W179:W191)</f>
        <v>163154.97421156603</v>
      </c>
      <c r="Y192" s="171" t="str">
        <f>'ROLL PRO TL+NI'!AC86</f>
        <v>TOTAL</v>
      </c>
      <c r="Z192" s="206">
        <f>SUM(Z180:Z191)</f>
        <v>106857</v>
      </c>
      <c r="AA192" s="206">
        <f t="shared" ref="AA192" si="23">SUM(AA180:AA191)</f>
        <v>104515</v>
      </c>
      <c r="AB192" s="206">
        <f t="shared" ref="AB192" si="24">SUM(AB180:AB191)</f>
        <v>181593</v>
      </c>
      <c r="AC192" s="206">
        <f>SUM(AC179:AC191)</f>
        <v>106902.08973477239</v>
      </c>
      <c r="AE192" s="208"/>
      <c r="AF192" s="171" t="s">
        <v>234</v>
      </c>
      <c r="AG192" s="206">
        <f>SUM(AG180:AG191)</f>
        <v>1350289.08</v>
      </c>
      <c r="AH192" s="206">
        <f t="shared" ref="AH192" si="25">SUM(AH180:AH191)</f>
        <v>1398716.16</v>
      </c>
      <c r="AI192" s="206">
        <f t="shared" ref="AI192" si="26">SUM(AI180:AI191)</f>
        <v>1515162.7600000002</v>
      </c>
      <c r="AJ192" s="206">
        <f t="shared" ref="AJ192" si="27">SUM(AJ180:AJ191)</f>
        <v>1565055.9552578507</v>
      </c>
    </row>
    <row r="194" spans="4:28" x14ac:dyDescent="0.25">
      <c r="D194" s="122">
        <f>D190/SUM($D$180:$D$189)</f>
        <v>0.10153553120581524</v>
      </c>
      <c r="I194" s="122"/>
      <c r="J194" s="122">
        <f>J190/SUM(J$180:J$189)</f>
        <v>9.0333184934095395E-2</v>
      </c>
      <c r="P194" s="122">
        <f>P190/SUM($P$180:$P$189)</f>
        <v>0.20641639790046165</v>
      </c>
      <c r="V194" s="122">
        <f>V190/SUM(V$180:V$189)</f>
        <v>8.8509633734919532E-2</v>
      </c>
      <c r="AB194" s="122">
        <f>AB190/SUM(AB$180:AB$189)</f>
        <v>0.11682952572265159</v>
      </c>
    </row>
    <row r="195" spans="4:28" x14ac:dyDescent="0.25">
      <c r="D195" s="122">
        <f>D191/SUM($D$180:$D$189)</f>
        <v>7.5717149641315484E-2</v>
      </c>
      <c r="J195" s="122">
        <f>J191/SUM($J$180:$J$189)</f>
        <v>8.1722764227492029E-2</v>
      </c>
      <c r="P195" s="122">
        <f>P191/SUM($P$180:$P$189)</f>
        <v>0.12467326461350366</v>
      </c>
      <c r="V195" s="122">
        <f>V191/SUM($J$180:$J$189)</f>
        <v>7.7754054844391173E-3</v>
      </c>
      <c r="AB195" s="122">
        <f>AB191/SUM($J$180:$J$189)</f>
        <v>2.7075622686960094E-2</v>
      </c>
    </row>
  </sheetData>
  <conditionalFormatting sqref="B95:E107">
    <cfRule type="cellIs" dxfId="106" priority="114" operator="greaterThan">
      <formula>1</formula>
    </cfRule>
  </conditionalFormatting>
  <conditionalFormatting sqref="B111:E123">
    <cfRule type="cellIs" dxfId="105" priority="113" operator="greaterThan">
      <formula>1</formula>
    </cfRule>
  </conditionalFormatting>
  <conditionalFormatting sqref="B127:E139">
    <cfRule type="cellIs" dxfId="104" priority="112" operator="greaterThan">
      <formula>1</formula>
    </cfRule>
  </conditionalFormatting>
  <conditionalFormatting sqref="H95:K107">
    <cfRule type="cellIs" dxfId="103" priority="111" operator="greaterThan">
      <formula>1</formula>
    </cfRule>
  </conditionalFormatting>
  <conditionalFormatting sqref="H111:K123">
    <cfRule type="cellIs" dxfId="102" priority="110" operator="greaterThan">
      <formula>1</formula>
    </cfRule>
  </conditionalFormatting>
  <conditionalFormatting sqref="H127:K139">
    <cfRule type="cellIs" dxfId="101" priority="109" operator="greaterThan">
      <formula>1</formula>
    </cfRule>
  </conditionalFormatting>
  <conditionalFormatting sqref="N95:Q107">
    <cfRule type="cellIs" dxfId="100" priority="108" operator="greaterThan">
      <formula>1</formula>
    </cfRule>
  </conditionalFormatting>
  <conditionalFormatting sqref="N111:Q123">
    <cfRule type="cellIs" dxfId="99" priority="106" operator="greaterThan">
      <formula>1</formula>
    </cfRule>
  </conditionalFormatting>
  <conditionalFormatting sqref="N127:Q139">
    <cfRule type="cellIs" dxfId="98" priority="105" operator="greaterThan">
      <formula>1</formula>
    </cfRule>
  </conditionalFormatting>
  <conditionalFormatting sqref="T95:W107">
    <cfRule type="cellIs" dxfId="97" priority="104" operator="greaterThan">
      <formula>1</formula>
    </cfRule>
  </conditionalFormatting>
  <conditionalFormatting sqref="T111:W122">
    <cfRule type="cellIs" dxfId="96" priority="103" operator="greaterThan">
      <formula>1</formula>
    </cfRule>
  </conditionalFormatting>
  <conditionalFormatting sqref="T127:W139">
    <cfRule type="cellIs" dxfId="95" priority="102" operator="greaterThan">
      <formula>1</formula>
    </cfRule>
  </conditionalFormatting>
  <conditionalFormatting sqref="AL191:AO191">
    <cfRule type="cellIs" dxfId="94" priority="85" operator="greaterThan">
      <formula>0</formula>
    </cfRule>
  </conditionalFormatting>
  <conditionalFormatting sqref="Z180:AC189 Z190:AB191">
    <cfRule type="cellIs" dxfId="93" priority="82" operator="greaterThan">
      <formula>0</formula>
    </cfRule>
  </conditionalFormatting>
  <conditionalFormatting sqref="Z164:AC173 Z174:AB176">
    <cfRule type="cellIs" dxfId="92" priority="81" operator="greaterThan">
      <formula>0</formula>
    </cfRule>
  </conditionalFormatting>
  <conditionalFormatting sqref="T180:W189 T190:V191">
    <cfRule type="cellIs" dxfId="91" priority="77" operator="greaterThan">
      <formula>0</formula>
    </cfRule>
  </conditionalFormatting>
  <conditionalFormatting sqref="N180:Q189 N190:P191">
    <cfRule type="cellIs" dxfId="90" priority="76" operator="greaterThan">
      <formula>0</formula>
    </cfRule>
  </conditionalFormatting>
  <conditionalFormatting sqref="H148:K157 H158:J160">
    <cfRule type="cellIs" dxfId="89" priority="73" operator="greaterThan">
      <formula>0</formula>
    </cfRule>
  </conditionalFormatting>
  <conditionalFormatting sqref="B148:E160">
    <cfRule type="cellIs" dxfId="88" priority="72" operator="greaterThan">
      <formula>0</formula>
    </cfRule>
  </conditionalFormatting>
  <conditionalFormatting sqref="B164:E173 B174:D176">
    <cfRule type="cellIs" dxfId="87" priority="71" operator="greaterThan">
      <formula>0</formula>
    </cfRule>
  </conditionalFormatting>
  <conditionalFormatting sqref="B180:E189 B190:D191">
    <cfRule type="cellIs" dxfId="86" priority="70" operator="greaterThan">
      <formula>0</formula>
    </cfRule>
  </conditionalFormatting>
  <conditionalFormatting sqref="H180:K189 H190:J191">
    <cfRule type="cellIs" dxfId="85" priority="69" operator="greaterThan">
      <formula>0</formula>
    </cfRule>
  </conditionalFormatting>
  <conditionalFormatting sqref="H164:K173 H174:J176">
    <cfRule type="cellIs" dxfId="84" priority="68" operator="greaterThan">
      <formula>0</formula>
    </cfRule>
  </conditionalFormatting>
  <conditionalFormatting sqref="N164:Q173 N174:P176">
    <cfRule type="cellIs" dxfId="83" priority="67" operator="greaterThan">
      <formula>0</formula>
    </cfRule>
  </conditionalFormatting>
  <conditionalFormatting sqref="T164:W173 T174:V176">
    <cfRule type="cellIs" dxfId="82" priority="66" operator="greaterThan">
      <formula>0</formula>
    </cfRule>
  </conditionalFormatting>
  <conditionalFormatting sqref="N148:Q157 N158:P160">
    <cfRule type="cellIs" dxfId="81" priority="65" operator="greaterThan">
      <formula>0</formula>
    </cfRule>
  </conditionalFormatting>
  <conditionalFormatting sqref="T148:W157 T158:V160">
    <cfRule type="cellIs" dxfId="80" priority="64" operator="greaterThan">
      <formula>0</formula>
    </cfRule>
  </conditionalFormatting>
  <conditionalFormatting sqref="Z148:AC157 Z158:AB160">
    <cfRule type="cellIs" dxfId="79" priority="63" operator="greaterThan">
      <formula>0</formula>
    </cfRule>
  </conditionalFormatting>
  <conditionalFormatting sqref="AG148:AJ160">
    <cfRule type="cellIs" dxfId="78" priority="62" operator="greaterThan">
      <formula>0</formula>
    </cfRule>
  </conditionalFormatting>
  <conditionalFormatting sqref="AG164:AJ176">
    <cfRule type="cellIs" dxfId="77" priority="61" operator="greaterThan">
      <formula>0</formula>
    </cfRule>
  </conditionalFormatting>
  <conditionalFormatting sqref="AG180:AJ192">
    <cfRule type="cellIs" dxfId="76" priority="60" operator="greaterThan">
      <formula>0</formula>
    </cfRule>
  </conditionalFormatting>
  <conditionalFormatting sqref="Z192:AB192">
    <cfRule type="cellIs" dxfId="75" priority="49" operator="greaterThan">
      <formula>0</formula>
    </cfRule>
  </conditionalFormatting>
  <conditionalFormatting sqref="T192:V192">
    <cfRule type="cellIs" dxfId="74" priority="48" operator="greaterThan">
      <formula>0</formula>
    </cfRule>
  </conditionalFormatting>
  <conditionalFormatting sqref="N192:P192">
    <cfRule type="cellIs" dxfId="73" priority="47" operator="greaterThan">
      <formula>0</formula>
    </cfRule>
  </conditionalFormatting>
  <conditionalFormatting sqref="H192:J192">
    <cfRule type="cellIs" dxfId="72" priority="46" operator="greaterThan">
      <formula>0</formula>
    </cfRule>
  </conditionalFormatting>
  <conditionalFormatting sqref="B192:D192">
    <cfRule type="cellIs" dxfId="71" priority="45" operator="greaterThan">
      <formula>0</formula>
    </cfRule>
  </conditionalFormatting>
  <conditionalFormatting sqref="K158:K160">
    <cfRule type="cellIs" dxfId="70" priority="14" operator="greaterThan">
      <formula>0</formula>
    </cfRule>
  </conditionalFormatting>
  <conditionalFormatting sqref="Q158:Q160">
    <cfRule type="cellIs" dxfId="69" priority="13" operator="greaterThan">
      <formula>0</formula>
    </cfRule>
  </conditionalFormatting>
  <conditionalFormatting sqref="W158:W160">
    <cfRule type="cellIs" dxfId="68" priority="12" operator="greaterThan">
      <formula>0</formula>
    </cfRule>
  </conditionalFormatting>
  <conditionalFormatting sqref="AC158:AC160">
    <cfRule type="cellIs" dxfId="67" priority="11" operator="greaterThan">
      <formula>0</formula>
    </cfRule>
  </conditionalFormatting>
  <conditionalFormatting sqref="AC174:AC176">
    <cfRule type="cellIs" dxfId="66" priority="10" operator="greaterThan">
      <formula>0</formula>
    </cfRule>
  </conditionalFormatting>
  <conditionalFormatting sqref="W174:W176">
    <cfRule type="cellIs" dxfId="65" priority="9" operator="greaterThan">
      <formula>0</formula>
    </cfRule>
  </conditionalFormatting>
  <conditionalFormatting sqref="Q174:Q176">
    <cfRule type="cellIs" dxfId="64" priority="8" operator="greaterThan">
      <formula>0</formula>
    </cfRule>
  </conditionalFormatting>
  <conditionalFormatting sqref="K174:K176">
    <cfRule type="cellIs" dxfId="63" priority="7" operator="greaterThan">
      <formula>0</formula>
    </cfRule>
  </conditionalFormatting>
  <conditionalFormatting sqref="E174:E176">
    <cfRule type="cellIs" dxfId="62" priority="6" operator="greaterThan">
      <formula>0</formula>
    </cfRule>
  </conditionalFormatting>
  <conditionalFormatting sqref="E190:E192">
    <cfRule type="cellIs" dxfId="61" priority="5" operator="greaterThan">
      <formula>0</formula>
    </cfRule>
  </conditionalFormatting>
  <conditionalFormatting sqref="K190:K192">
    <cfRule type="cellIs" dxfId="60" priority="4" operator="greaterThan">
      <formula>0</formula>
    </cfRule>
  </conditionalFormatting>
  <conditionalFormatting sqref="Q190:Q192">
    <cfRule type="cellIs" dxfId="59" priority="3" operator="greaterThan">
      <formula>0</formula>
    </cfRule>
  </conditionalFormatting>
  <conditionalFormatting sqref="W190:W192">
    <cfRule type="cellIs" dxfId="58" priority="2" operator="greaterThan">
      <formula>0</formula>
    </cfRule>
  </conditionalFormatting>
  <conditionalFormatting sqref="AC190:AC192">
    <cfRule type="cellIs" dxfId="57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74"/>
  <sheetViews>
    <sheetView zoomScale="62" zoomScaleNormal="62" workbookViewId="0"/>
  </sheetViews>
  <sheetFormatPr baseColWidth="10" defaultColWidth="11.42578125" defaultRowHeight="15" x14ac:dyDescent="0.25"/>
  <cols>
    <col min="1" max="9" width="11.42578125" style="117"/>
    <col min="10" max="10" width="12.140625" style="117" customWidth="1"/>
    <col min="11" max="16384" width="11.42578125" style="117"/>
  </cols>
  <sheetData>
    <row r="1" spans="1:44" ht="17.25" thickTop="1" thickBot="1" x14ac:dyDescent="0.3">
      <c r="A1" s="140" t="s">
        <v>222</v>
      </c>
      <c r="B1" s="40"/>
      <c r="J1" s="140" t="s">
        <v>217</v>
      </c>
      <c r="K1" s="142"/>
      <c r="S1" s="140" t="s">
        <v>264</v>
      </c>
      <c r="T1" s="142"/>
      <c r="AB1" s="140" t="s">
        <v>216</v>
      </c>
      <c r="AC1" s="142"/>
      <c r="AK1" s="140" t="s">
        <v>265</v>
      </c>
      <c r="AL1" s="142"/>
    </row>
    <row r="2" spans="1:44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117" t="s">
        <v>74</v>
      </c>
      <c r="Q2" s="117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117" t="s">
        <v>74</v>
      </c>
      <c r="Z2" s="117" t="s">
        <v>75</v>
      </c>
      <c r="AB2" s="124"/>
      <c r="AC2" s="125">
        <v>2014</v>
      </c>
      <c r="AD2" s="125">
        <v>2015</v>
      </c>
      <c r="AE2" s="125">
        <v>2016</v>
      </c>
      <c r="AF2" s="125">
        <v>2017</v>
      </c>
      <c r="AG2" s="126" t="s">
        <v>1</v>
      </c>
      <c r="AH2" s="117" t="s">
        <v>74</v>
      </c>
      <c r="AI2" s="117" t="s">
        <v>75</v>
      </c>
      <c r="AK2" s="124"/>
      <c r="AL2" s="125">
        <v>2014</v>
      </c>
      <c r="AM2" s="125">
        <v>2015</v>
      </c>
      <c r="AN2" s="125">
        <v>2016</v>
      </c>
      <c r="AO2" s="125">
        <v>2017</v>
      </c>
      <c r="AP2" s="126" t="s">
        <v>1</v>
      </c>
      <c r="AQ2" s="117" t="s">
        <v>74</v>
      </c>
      <c r="AR2" s="117" t="s">
        <v>75</v>
      </c>
    </row>
    <row r="3" spans="1:44" x14ac:dyDescent="0.25">
      <c r="A3" s="119" t="s">
        <v>2</v>
      </c>
      <c r="B3" s="133">
        <v>0</v>
      </c>
      <c r="C3" s="133">
        <v>0</v>
      </c>
      <c r="D3" s="133">
        <f>'PORTO VECCHIO 2016'!BC4+'PORTO VECCHIO 2016'!BC21</f>
        <v>340.40000000000003</v>
      </c>
      <c r="E3" s="133">
        <f>'PORTO VECCHIO 2017'!BC4+'PORTO VECCHIO 2017'!BC21</f>
        <v>340.40000000000003</v>
      </c>
      <c r="F3" s="127">
        <f>AVERAGE(B3:E3)</f>
        <v>170.20000000000002</v>
      </c>
      <c r="G3" s="127">
        <f>STDEVA(B3:E3)</f>
        <v>196.53003163214862</v>
      </c>
      <c r="H3" s="127">
        <f>STDEVA(B3:E3)</f>
        <v>196.53003163214862</v>
      </c>
      <c r="J3" s="119" t="s">
        <v>2</v>
      </c>
      <c r="K3" s="41"/>
      <c r="L3" s="41"/>
      <c r="M3" s="41"/>
      <c r="N3" s="41"/>
      <c r="O3" s="122"/>
      <c r="P3" s="123">
        <f>MAX(K3:N3)</f>
        <v>0</v>
      </c>
      <c r="Q3" s="123">
        <f>MIN(K3:N3)</f>
        <v>0</v>
      </c>
      <c r="S3" s="119" t="s">
        <v>2</v>
      </c>
      <c r="T3" s="41"/>
      <c r="U3" s="41"/>
      <c r="V3" s="41">
        <f t="shared" ref="T3:W14" si="0">D58/D3</f>
        <v>17.408930669800235</v>
      </c>
      <c r="W3" s="41">
        <f t="shared" si="0"/>
        <v>23.586956521739129</v>
      </c>
      <c r="X3" s="122">
        <f>AVERAGE(T3:W3)</f>
        <v>20.497943595769684</v>
      </c>
      <c r="Y3" s="123">
        <f>MAX(T3:W3)</f>
        <v>23.586956521739129</v>
      </c>
      <c r="Z3" s="123">
        <f>MIN(T3:W3)</f>
        <v>17.408930669800235</v>
      </c>
      <c r="AB3" s="119" t="s">
        <v>2</v>
      </c>
      <c r="AC3" s="41" t="e">
        <f>B127/B108</f>
        <v>#DIV/0!</v>
      </c>
      <c r="AD3" s="41" t="e">
        <f t="shared" ref="AD3:AF3" si="1">C127/C108</f>
        <v>#DIV/0!</v>
      </c>
      <c r="AE3" s="41" t="e">
        <f t="shared" si="1"/>
        <v>#DIV/0!</v>
      </c>
      <c r="AF3" s="41" t="e">
        <f t="shared" si="1"/>
        <v>#DIV/0!</v>
      </c>
      <c r="AG3" s="122" t="e">
        <f>AVERAGE(AC3:AF3)</f>
        <v>#DIV/0!</v>
      </c>
      <c r="AH3" s="123" t="e">
        <f>MAX(AC3:AF3)</f>
        <v>#DIV/0!</v>
      </c>
      <c r="AI3" s="123" t="e">
        <f>MIN(AC3:AF3)</f>
        <v>#DIV/0!</v>
      </c>
      <c r="AK3" s="119" t="s">
        <v>2</v>
      </c>
      <c r="AL3" s="41"/>
      <c r="AM3" s="41"/>
      <c r="AN3" s="41">
        <f t="shared" ref="AN3:AO3" si="2">(D74+D91+D127)/(D3+D108)</f>
        <v>6.565804935370152</v>
      </c>
      <c r="AO3" s="41">
        <f t="shared" si="2"/>
        <v>17.917156286721504</v>
      </c>
      <c r="AP3" s="146">
        <f>AVERAGE(AL3:AO3)</f>
        <v>12.241480611045828</v>
      </c>
      <c r="AQ3" s="123">
        <f>MAX(AL3:AO3)</f>
        <v>17.917156286721504</v>
      </c>
      <c r="AR3" s="123">
        <f>MIN(AL3:AO3)</f>
        <v>6.565804935370152</v>
      </c>
    </row>
    <row r="4" spans="1:44" x14ac:dyDescent="0.25">
      <c r="A4" s="119" t="s">
        <v>3</v>
      </c>
      <c r="B4" s="133">
        <f>'PORTO VECCHIO 2014'!BC5+'PORTO VECCHIO 2014'!BC22</f>
        <v>1304</v>
      </c>
      <c r="C4" s="133">
        <v>0</v>
      </c>
      <c r="D4" s="133">
        <f>'PORTO VECCHIO 2016'!BC5+'PORTO VECCHIO 2016'!BC22</f>
        <v>0</v>
      </c>
      <c r="E4" s="133">
        <f>'PORTO VECCHIO 2017'!BC5+'PORTO VECCHIO 2017'!BC22</f>
        <v>0</v>
      </c>
      <c r="F4" s="127">
        <f t="shared" ref="F4:F14" si="3">AVERAGE(B4:E4)</f>
        <v>326</v>
      </c>
      <c r="G4" s="127">
        <f t="shared" ref="G4:G14" si="4">STDEVA(B4:E4)</f>
        <v>652</v>
      </c>
      <c r="H4" s="127">
        <f t="shared" ref="H4:H14" si="5">STDEVA(B4:E4)</f>
        <v>652</v>
      </c>
      <c r="J4" s="119" t="s">
        <v>3</v>
      </c>
      <c r="K4" s="41"/>
      <c r="L4" s="41"/>
      <c r="M4" s="41"/>
      <c r="N4" s="41"/>
      <c r="O4" s="122"/>
      <c r="P4" s="123">
        <f t="shared" ref="P4:P14" si="6">MAX(K4:N4)</f>
        <v>0</v>
      </c>
      <c r="Q4" s="123">
        <f t="shared" ref="Q4:Q14" si="7">MIN(K4:N4)</f>
        <v>0</v>
      </c>
      <c r="S4" s="119" t="s">
        <v>3</v>
      </c>
      <c r="T4" s="41">
        <f t="shared" si="0"/>
        <v>5.7783742331288339</v>
      </c>
      <c r="U4" s="41"/>
      <c r="V4" s="41"/>
      <c r="W4" s="41"/>
      <c r="X4" s="122">
        <f t="shared" ref="X4:X14" si="8">AVERAGE(T4:W4)</f>
        <v>5.7783742331288339</v>
      </c>
      <c r="Y4" s="123">
        <f t="shared" ref="Y4:Y14" si="9">MAX(T4:W4)</f>
        <v>5.7783742331288339</v>
      </c>
      <c r="Z4" s="123">
        <f t="shared" ref="Z4:Z14" si="10">MIN(T4:W4)</f>
        <v>5.7783742331288339</v>
      </c>
      <c r="AB4" s="119" t="s">
        <v>3</v>
      </c>
      <c r="AC4" s="41">
        <f t="shared" ref="AC4:AC14" si="11">B128/B109</f>
        <v>0</v>
      </c>
      <c r="AD4" s="41" t="e">
        <f t="shared" ref="AD4:AD14" si="12">C128/C109</f>
        <v>#DIV/0!</v>
      </c>
      <c r="AE4" s="41" t="e">
        <f t="shared" ref="AE4:AE14" si="13">D128/D109</f>
        <v>#DIV/0!</v>
      </c>
      <c r="AF4" s="41" t="e">
        <f t="shared" ref="AF4:AF14" si="14">E128/E109</f>
        <v>#DIV/0!</v>
      </c>
      <c r="AG4" s="122" t="e">
        <f t="shared" ref="AG4:AG14" si="15">AVERAGE(AC4:AF4)</f>
        <v>#DIV/0!</v>
      </c>
      <c r="AH4" s="123" t="e">
        <f t="shared" ref="AH4:AH14" si="16">MAX(AC4:AF4)</f>
        <v>#DIV/0!</v>
      </c>
      <c r="AI4" s="123" t="e">
        <f t="shared" ref="AI4:AI14" si="17">MIN(AC4:AF4)</f>
        <v>#DIV/0!</v>
      </c>
      <c r="AK4" s="119" t="s">
        <v>3</v>
      </c>
      <c r="AL4" s="41">
        <f t="shared" ref="AL4" si="18">(B75+B92+B128)/(B4+B109)</f>
        <v>1.6965033102503615</v>
      </c>
      <c r="AM4" s="41"/>
      <c r="AN4" s="41"/>
      <c r="AO4" s="41"/>
      <c r="AP4" s="146">
        <f t="shared" ref="AP4:AP14" si="19">AVERAGE(AL4:AO4)</f>
        <v>1.6965033102503615</v>
      </c>
      <c r="AQ4" s="123">
        <f t="shared" ref="AQ4:AQ14" si="20">MAX(AL4:AO4)</f>
        <v>1.6965033102503615</v>
      </c>
      <c r="AR4" s="123">
        <f t="shared" ref="AR4:AR14" si="21">MIN(AL4:AO4)</f>
        <v>1.6965033102503615</v>
      </c>
    </row>
    <row r="5" spans="1:44" x14ac:dyDescent="0.25">
      <c r="A5" s="119" t="s">
        <v>4</v>
      </c>
      <c r="B5" s="133">
        <v>0</v>
      </c>
      <c r="C5" s="133">
        <v>0</v>
      </c>
      <c r="D5" s="133">
        <f>'PORTO VECCHIO 2016'!BC6+'PORTO VECCHIO 2016'!BC23</f>
        <v>0</v>
      </c>
      <c r="E5" s="133">
        <f>'PORTO VECCHIO 2017'!BC6+'PORTO VECCHIO 2017'!BC23</f>
        <v>0</v>
      </c>
      <c r="F5" s="127">
        <f t="shared" si="3"/>
        <v>0</v>
      </c>
      <c r="G5" s="127">
        <f t="shared" si="4"/>
        <v>0</v>
      </c>
      <c r="H5" s="127">
        <f t="shared" si="5"/>
        <v>0</v>
      </c>
      <c r="J5" s="119" t="s">
        <v>4</v>
      </c>
      <c r="K5" s="41"/>
      <c r="L5" s="41"/>
      <c r="M5" s="41"/>
      <c r="N5" s="41"/>
      <c r="O5" s="122"/>
      <c r="P5" s="123">
        <f t="shared" si="6"/>
        <v>0</v>
      </c>
      <c r="Q5" s="123">
        <f t="shared" si="7"/>
        <v>0</v>
      </c>
      <c r="S5" s="119" t="s">
        <v>4</v>
      </c>
      <c r="T5" s="41"/>
      <c r="U5" s="41"/>
      <c r="V5" s="41"/>
      <c r="W5" s="41"/>
      <c r="X5" s="122"/>
      <c r="Y5" s="123">
        <f t="shared" si="9"/>
        <v>0</v>
      </c>
      <c r="Z5" s="123">
        <f t="shared" si="10"/>
        <v>0</v>
      </c>
      <c r="AB5" s="119" t="s">
        <v>4</v>
      </c>
      <c r="AC5" s="41" t="e">
        <f t="shared" si="11"/>
        <v>#DIV/0!</v>
      </c>
      <c r="AD5" s="41" t="e">
        <f t="shared" si="12"/>
        <v>#DIV/0!</v>
      </c>
      <c r="AE5" s="41" t="e">
        <f t="shared" si="13"/>
        <v>#DIV/0!</v>
      </c>
      <c r="AF5" s="41" t="e">
        <f t="shared" si="14"/>
        <v>#DIV/0!</v>
      </c>
      <c r="AG5" s="122" t="e">
        <f t="shared" si="15"/>
        <v>#DIV/0!</v>
      </c>
      <c r="AH5" s="123" t="e">
        <f t="shared" si="16"/>
        <v>#DIV/0!</v>
      </c>
      <c r="AI5" s="123" t="e">
        <f t="shared" si="17"/>
        <v>#DIV/0!</v>
      </c>
      <c r="AK5" s="119" t="s">
        <v>4</v>
      </c>
      <c r="AL5" s="41"/>
      <c r="AM5" s="41"/>
      <c r="AN5" s="41"/>
      <c r="AO5" s="41"/>
      <c r="AP5" s="146"/>
      <c r="AQ5" s="123">
        <f t="shared" si="20"/>
        <v>0</v>
      </c>
      <c r="AR5" s="123">
        <f t="shared" si="21"/>
        <v>0</v>
      </c>
    </row>
    <row r="6" spans="1:44" x14ac:dyDescent="0.25">
      <c r="A6" s="119" t="s">
        <v>5</v>
      </c>
      <c r="B6" s="133">
        <v>0</v>
      </c>
      <c r="C6" s="133">
        <v>0</v>
      </c>
      <c r="D6" s="133">
        <f>'PORTO VECCHIO 2016'!BC7+'PORTO VECCHIO 2016'!BC24</f>
        <v>0</v>
      </c>
      <c r="E6" s="133">
        <f>'PORTO VECCHIO 2017'!BC7+'PORTO VECCHIO 2017'!BC24</f>
        <v>855.59999999999991</v>
      </c>
      <c r="F6" s="127">
        <f t="shared" si="3"/>
        <v>213.89999999999998</v>
      </c>
      <c r="G6" s="127">
        <f t="shared" si="4"/>
        <v>427.79999999999995</v>
      </c>
      <c r="H6" s="127">
        <f t="shared" si="5"/>
        <v>427.79999999999995</v>
      </c>
      <c r="J6" s="119" t="s">
        <v>5</v>
      </c>
      <c r="K6" s="41"/>
      <c r="L6" s="41"/>
      <c r="M6" s="41"/>
      <c r="N6" s="41"/>
      <c r="O6" s="122"/>
      <c r="P6" s="123">
        <f t="shared" si="6"/>
        <v>0</v>
      </c>
      <c r="Q6" s="123">
        <f t="shared" si="7"/>
        <v>0</v>
      </c>
      <c r="S6" s="119" t="s">
        <v>5</v>
      </c>
      <c r="T6" s="41"/>
      <c r="U6" s="41"/>
      <c r="V6" s="41"/>
      <c r="W6" s="41">
        <f t="shared" si="0"/>
        <v>15.991117344553532</v>
      </c>
      <c r="X6" s="122">
        <f t="shared" si="8"/>
        <v>15.991117344553532</v>
      </c>
      <c r="Y6" s="123">
        <f t="shared" si="9"/>
        <v>15.991117344553532</v>
      </c>
      <c r="Z6" s="123">
        <f t="shared" si="10"/>
        <v>15.991117344553532</v>
      </c>
      <c r="AB6" s="119" t="s">
        <v>5</v>
      </c>
      <c r="AC6" s="41" t="e">
        <f t="shared" si="11"/>
        <v>#DIV/0!</v>
      </c>
      <c r="AD6" s="41" t="e">
        <f t="shared" si="12"/>
        <v>#DIV/0!</v>
      </c>
      <c r="AE6" s="41" t="e">
        <f t="shared" si="13"/>
        <v>#DIV/0!</v>
      </c>
      <c r="AF6" s="41">
        <f t="shared" si="14"/>
        <v>0.6424799933998846</v>
      </c>
      <c r="AG6" s="122" t="e">
        <f t="shared" si="15"/>
        <v>#DIV/0!</v>
      </c>
      <c r="AH6" s="123" t="e">
        <f t="shared" si="16"/>
        <v>#DIV/0!</v>
      </c>
      <c r="AI6" s="123" t="e">
        <f t="shared" si="17"/>
        <v>#DIV/0!</v>
      </c>
      <c r="AK6" s="119" t="s">
        <v>5</v>
      </c>
      <c r="AL6" s="41"/>
      <c r="AM6" s="41"/>
      <c r="AN6" s="41"/>
      <c r="AO6" s="41">
        <f t="shared" ref="AO6:AO12" si="22">(E77+E94+E130)/(E6+E111)</f>
        <v>1.7612471679792863</v>
      </c>
      <c r="AP6" s="146">
        <f t="shared" si="19"/>
        <v>1.7612471679792863</v>
      </c>
      <c r="AQ6" s="123">
        <f t="shared" si="20"/>
        <v>1.7612471679792863</v>
      </c>
      <c r="AR6" s="123">
        <f t="shared" si="21"/>
        <v>1.7612471679792863</v>
      </c>
    </row>
    <row r="7" spans="1:44" x14ac:dyDescent="0.25">
      <c r="A7" s="119" t="s">
        <v>6</v>
      </c>
      <c r="B7" s="133">
        <v>0</v>
      </c>
      <c r="C7" s="133">
        <v>0</v>
      </c>
      <c r="D7" s="133">
        <f>'PORTO VECCHIO 2016'!BC8+'PORTO VECCHIO 2016'!BC25</f>
        <v>0</v>
      </c>
      <c r="E7" s="133">
        <f>'PORTO VECCHIO 2017'!BC8+'PORTO VECCHIO 2017'!BC25</f>
        <v>408</v>
      </c>
      <c r="F7" s="127">
        <f t="shared" si="3"/>
        <v>102</v>
      </c>
      <c r="G7" s="127">
        <f t="shared" si="4"/>
        <v>204</v>
      </c>
      <c r="H7" s="127">
        <f t="shared" si="5"/>
        <v>204</v>
      </c>
      <c r="J7" s="119" t="s">
        <v>6</v>
      </c>
      <c r="K7" s="41"/>
      <c r="L7" s="41"/>
      <c r="M7" s="41"/>
      <c r="N7" s="41"/>
      <c r="O7" s="122"/>
      <c r="P7" s="123">
        <f t="shared" si="6"/>
        <v>0</v>
      </c>
      <c r="Q7" s="123">
        <f t="shared" si="7"/>
        <v>0</v>
      </c>
      <c r="S7" s="119" t="s">
        <v>6</v>
      </c>
      <c r="T7" s="41"/>
      <c r="U7" s="41"/>
      <c r="V7" s="41"/>
      <c r="W7" s="41">
        <f t="shared" si="0"/>
        <v>41.882352941176471</v>
      </c>
      <c r="X7" s="122">
        <f t="shared" si="8"/>
        <v>41.882352941176471</v>
      </c>
      <c r="Y7" s="123">
        <f t="shared" si="9"/>
        <v>41.882352941176471</v>
      </c>
      <c r="Z7" s="123">
        <f t="shared" si="10"/>
        <v>41.882352941176471</v>
      </c>
      <c r="AB7" s="119" t="s">
        <v>6</v>
      </c>
      <c r="AC7" s="41" t="e">
        <f t="shared" si="11"/>
        <v>#DIV/0!</v>
      </c>
      <c r="AD7" s="41" t="e">
        <f t="shared" si="12"/>
        <v>#DIV/0!</v>
      </c>
      <c r="AE7" s="41" t="e">
        <f t="shared" si="13"/>
        <v>#DIV/0!</v>
      </c>
      <c r="AF7" s="41">
        <f t="shared" si="14"/>
        <v>0.60483870967741937</v>
      </c>
      <c r="AG7" s="122" t="e">
        <f t="shared" si="15"/>
        <v>#DIV/0!</v>
      </c>
      <c r="AH7" s="123" t="e">
        <f t="shared" si="16"/>
        <v>#DIV/0!</v>
      </c>
      <c r="AI7" s="123" t="e">
        <f t="shared" si="17"/>
        <v>#DIV/0!</v>
      </c>
      <c r="AK7" s="119" t="s">
        <v>6</v>
      </c>
      <c r="AL7" s="41"/>
      <c r="AM7" s="41"/>
      <c r="AN7" s="41"/>
      <c r="AO7" s="41">
        <f t="shared" si="22"/>
        <v>2.6418800388175581</v>
      </c>
      <c r="AP7" s="146">
        <f t="shared" si="19"/>
        <v>2.6418800388175581</v>
      </c>
      <c r="AQ7" s="123">
        <f t="shared" si="20"/>
        <v>2.6418800388175581</v>
      </c>
      <c r="AR7" s="123">
        <f t="shared" si="21"/>
        <v>2.6418800388175581</v>
      </c>
    </row>
    <row r="8" spans="1:44" x14ac:dyDescent="0.25">
      <c r="A8" s="119" t="s">
        <v>7</v>
      </c>
      <c r="B8" s="133">
        <v>0</v>
      </c>
      <c r="C8" s="133">
        <v>0</v>
      </c>
      <c r="D8" s="133">
        <f>'PORTO VECCHIO 2016'!BC9+'PORTO VECCHIO 2016'!BC26</f>
        <v>980.88</v>
      </c>
      <c r="E8" s="133">
        <f>'PORTO VECCHIO 2017'!BC9+'PORTO VECCHIO 2017'!BC26</f>
        <v>1079.04</v>
      </c>
      <c r="F8" s="127">
        <f t="shared" si="3"/>
        <v>514.98</v>
      </c>
      <c r="G8" s="127">
        <f t="shared" si="4"/>
        <v>595.99644696927498</v>
      </c>
      <c r="H8" s="127">
        <f t="shared" si="5"/>
        <v>595.99644696927498</v>
      </c>
      <c r="J8" s="119" t="s">
        <v>7</v>
      </c>
      <c r="K8" s="41"/>
      <c r="L8" s="41"/>
      <c r="M8" s="41"/>
      <c r="N8" s="41"/>
      <c r="O8" s="122"/>
      <c r="P8" s="123">
        <f t="shared" si="6"/>
        <v>0</v>
      </c>
      <c r="Q8" s="123">
        <f t="shared" si="7"/>
        <v>0</v>
      </c>
      <c r="S8" s="119" t="s">
        <v>7</v>
      </c>
      <c r="T8" s="41"/>
      <c r="U8" s="41"/>
      <c r="V8" s="41">
        <f t="shared" si="0"/>
        <v>18.796386917869668</v>
      </c>
      <c r="W8" s="41">
        <f t="shared" si="0"/>
        <v>19.025244661921707</v>
      </c>
      <c r="X8" s="122">
        <f t="shared" si="8"/>
        <v>18.910815789895686</v>
      </c>
      <c r="Y8" s="123">
        <f t="shared" si="9"/>
        <v>19.025244661921707</v>
      </c>
      <c r="Z8" s="123">
        <f t="shared" si="10"/>
        <v>18.796386917869668</v>
      </c>
      <c r="AB8" s="119" t="s">
        <v>7</v>
      </c>
      <c r="AC8" s="41" t="e">
        <f t="shared" si="11"/>
        <v>#DIV/0!</v>
      </c>
      <c r="AD8" s="41" t="e">
        <f t="shared" si="12"/>
        <v>#DIV/0!</v>
      </c>
      <c r="AE8" s="41">
        <f t="shared" si="13"/>
        <v>1.568043065753651</v>
      </c>
      <c r="AF8" s="41">
        <f t="shared" si="14"/>
        <v>2.5508415147265078</v>
      </c>
      <c r="AG8" s="122" t="e">
        <f t="shared" si="15"/>
        <v>#DIV/0!</v>
      </c>
      <c r="AH8" s="123" t="e">
        <f t="shared" si="16"/>
        <v>#DIV/0!</v>
      </c>
      <c r="AI8" s="123" t="e">
        <f t="shared" si="17"/>
        <v>#DIV/0!</v>
      </c>
      <c r="AK8" s="119" t="s">
        <v>7</v>
      </c>
      <c r="AL8" s="41"/>
      <c r="AM8" s="41"/>
      <c r="AN8" s="41">
        <f t="shared" ref="AN8:AN14" si="23">(D79+D96+D132)/(D8+D113)</f>
        <v>3.1954887218045118</v>
      </c>
      <c r="AO8" s="41">
        <f t="shared" si="22"/>
        <v>4.5443910152972311</v>
      </c>
      <c r="AP8" s="146">
        <f t="shared" si="19"/>
        <v>3.8699398685508717</v>
      </c>
      <c r="AQ8" s="123">
        <f t="shared" si="20"/>
        <v>4.5443910152972311</v>
      </c>
      <c r="AR8" s="123">
        <f t="shared" si="21"/>
        <v>3.1954887218045118</v>
      </c>
    </row>
    <row r="9" spans="1:44" x14ac:dyDescent="0.25">
      <c r="A9" s="119" t="s">
        <v>8</v>
      </c>
      <c r="B9" s="133">
        <v>0</v>
      </c>
      <c r="C9" s="133">
        <v>0</v>
      </c>
      <c r="D9" s="133">
        <f>'PORTO VECCHIO 2016'!BC10+'PORTO VECCHIO 2016'!BC27</f>
        <v>171.11999999999998</v>
      </c>
      <c r="E9" s="133">
        <f>'PORTO VECCHIO 2017'!BC10+'PORTO VECCHIO 2017'!BC27</f>
        <v>1119.1200000000001</v>
      </c>
      <c r="F9" s="127">
        <f t="shared" si="3"/>
        <v>322.56</v>
      </c>
      <c r="G9" s="127">
        <f t="shared" si="4"/>
        <v>537.13183186253264</v>
      </c>
      <c r="H9" s="127">
        <f t="shared" si="5"/>
        <v>537.13183186253264</v>
      </c>
      <c r="I9" s="45"/>
      <c r="J9" s="119" t="s">
        <v>8</v>
      </c>
      <c r="K9" s="41"/>
      <c r="L9" s="41"/>
      <c r="M9" s="41"/>
      <c r="N9" s="41"/>
      <c r="O9" s="122"/>
      <c r="P9" s="123">
        <f t="shared" si="6"/>
        <v>0</v>
      </c>
      <c r="Q9" s="123">
        <f t="shared" si="7"/>
        <v>0</v>
      </c>
      <c r="S9" s="119" t="s">
        <v>8</v>
      </c>
      <c r="T9" s="41"/>
      <c r="U9" s="41"/>
      <c r="V9" s="41">
        <f t="shared" si="0"/>
        <v>108.68980832164564</v>
      </c>
      <c r="W9" s="41">
        <f t="shared" si="0"/>
        <v>16.514761598398739</v>
      </c>
      <c r="X9" s="122">
        <f t="shared" si="8"/>
        <v>62.602284960022189</v>
      </c>
      <c r="Y9" s="123">
        <f t="shared" si="9"/>
        <v>108.68980832164564</v>
      </c>
      <c r="Z9" s="123">
        <f t="shared" si="10"/>
        <v>16.514761598398739</v>
      </c>
      <c r="AB9" s="119" t="s">
        <v>8</v>
      </c>
      <c r="AC9" s="41" t="e">
        <f t="shared" si="11"/>
        <v>#DIV/0!</v>
      </c>
      <c r="AD9" s="41" t="e">
        <f t="shared" si="12"/>
        <v>#DIV/0!</v>
      </c>
      <c r="AE9" s="41" t="e">
        <f t="shared" si="13"/>
        <v>#DIV/0!</v>
      </c>
      <c r="AF9" s="41">
        <f t="shared" si="14"/>
        <v>1.2591782856199984</v>
      </c>
      <c r="AG9" s="122" t="e">
        <f t="shared" si="15"/>
        <v>#DIV/0!</v>
      </c>
      <c r="AH9" s="123" t="e">
        <f t="shared" si="16"/>
        <v>#DIV/0!</v>
      </c>
      <c r="AI9" s="123" t="e">
        <f t="shared" si="17"/>
        <v>#DIV/0!</v>
      </c>
      <c r="AK9" s="119" t="s">
        <v>8</v>
      </c>
      <c r="AL9" s="41"/>
      <c r="AM9" s="41"/>
      <c r="AN9" s="41">
        <f t="shared" si="23"/>
        <v>156.4340813464236</v>
      </c>
      <c r="AO9" s="41">
        <f t="shared" si="22"/>
        <v>3.5141991942824702</v>
      </c>
      <c r="AP9" s="146">
        <f t="shared" si="19"/>
        <v>79.974140270353033</v>
      </c>
      <c r="AQ9" s="123">
        <f t="shared" si="20"/>
        <v>156.4340813464236</v>
      </c>
      <c r="AR9" s="123">
        <f t="shared" si="21"/>
        <v>3.5141991942824702</v>
      </c>
    </row>
    <row r="10" spans="1:44" x14ac:dyDescent="0.25">
      <c r="A10" s="119" t="s">
        <v>9</v>
      </c>
      <c r="B10" s="133">
        <v>0</v>
      </c>
      <c r="C10" s="133">
        <v>0</v>
      </c>
      <c r="D10" s="133">
        <f>'PORTO VECCHIO 2016'!BC11+'PORTO VECCHIO 2016'!BC28</f>
        <v>1131.1199999999999</v>
      </c>
      <c r="E10" s="133">
        <f>'PORTO VECCHIO 2017'!BC11+'PORTO VECCHIO 2017'!BC28</f>
        <v>960</v>
      </c>
      <c r="F10" s="127">
        <f t="shared" si="3"/>
        <v>522.78</v>
      </c>
      <c r="G10" s="127">
        <f t="shared" si="4"/>
        <v>607.68323458854775</v>
      </c>
      <c r="H10" s="127">
        <f t="shared" si="5"/>
        <v>607.68323458854775</v>
      </c>
      <c r="J10" s="119" t="s">
        <v>9</v>
      </c>
      <c r="K10" s="41"/>
      <c r="L10" s="41"/>
      <c r="M10" s="41"/>
      <c r="N10" s="41"/>
      <c r="O10" s="122"/>
      <c r="P10" s="123">
        <f t="shared" si="6"/>
        <v>0</v>
      </c>
      <c r="Q10" s="123">
        <f t="shared" si="7"/>
        <v>0</v>
      </c>
      <c r="S10" s="119" t="s">
        <v>9</v>
      </c>
      <c r="T10" s="41"/>
      <c r="U10" s="41"/>
      <c r="V10" s="41">
        <f t="shared" si="0"/>
        <v>12.518565669424996</v>
      </c>
      <c r="W10" s="41">
        <f t="shared" si="0"/>
        <v>17.090624999999999</v>
      </c>
      <c r="X10" s="122">
        <f t="shared" si="8"/>
        <v>14.804595334712499</v>
      </c>
      <c r="Y10" s="123">
        <f t="shared" si="9"/>
        <v>17.090624999999999</v>
      </c>
      <c r="Z10" s="123">
        <f t="shared" si="10"/>
        <v>12.518565669424996</v>
      </c>
      <c r="AB10" s="119" t="s">
        <v>9</v>
      </c>
      <c r="AC10" s="41" t="e">
        <f t="shared" si="11"/>
        <v>#DIV/0!</v>
      </c>
      <c r="AD10" s="41" t="e">
        <f t="shared" si="12"/>
        <v>#DIV/0!</v>
      </c>
      <c r="AE10" s="41" t="e">
        <f t="shared" si="13"/>
        <v>#DIV/0!</v>
      </c>
      <c r="AF10" s="41" t="e">
        <f t="shared" si="14"/>
        <v>#DIV/0!</v>
      </c>
      <c r="AG10" s="122" t="e">
        <f t="shared" si="15"/>
        <v>#DIV/0!</v>
      </c>
      <c r="AH10" s="123" t="e">
        <f t="shared" si="16"/>
        <v>#DIV/0!</v>
      </c>
      <c r="AI10" s="123" t="e">
        <f t="shared" si="17"/>
        <v>#DIV/0!</v>
      </c>
      <c r="AK10" s="119" t="s">
        <v>9</v>
      </c>
      <c r="AL10" s="41"/>
      <c r="AM10" s="41"/>
      <c r="AN10" s="41">
        <f t="shared" si="23"/>
        <v>27.840547422024191</v>
      </c>
      <c r="AO10" s="41">
        <f t="shared" si="22"/>
        <v>31.543749999999999</v>
      </c>
      <c r="AP10" s="146">
        <f t="shared" si="19"/>
        <v>29.692148711012095</v>
      </c>
      <c r="AQ10" s="123">
        <f t="shared" si="20"/>
        <v>31.543749999999999</v>
      </c>
      <c r="AR10" s="123">
        <f t="shared" si="21"/>
        <v>27.840547422024191</v>
      </c>
    </row>
    <row r="11" spans="1:44" x14ac:dyDescent="0.25">
      <c r="A11" s="119" t="s">
        <v>10</v>
      </c>
      <c r="B11" s="133">
        <v>0</v>
      </c>
      <c r="C11" s="133">
        <v>0</v>
      </c>
      <c r="D11" s="133">
        <f>'PORTO VECCHIO 2016'!BC12+'PORTO VECCHIO 2016'!BC29</f>
        <v>743.76</v>
      </c>
      <c r="E11" s="133">
        <f>'PORTO VECCHIO 2017'!BC12+'PORTO VECCHIO 2017'!BC29</f>
        <v>1079.04</v>
      </c>
      <c r="F11" s="127">
        <f t="shared" si="3"/>
        <v>455.7</v>
      </c>
      <c r="G11" s="127">
        <f t="shared" si="4"/>
        <v>543.70834681840222</v>
      </c>
      <c r="H11" s="127">
        <f t="shared" si="5"/>
        <v>543.70834681840222</v>
      </c>
      <c r="J11" s="119" t="s">
        <v>10</v>
      </c>
      <c r="K11" s="41"/>
      <c r="L11" s="41"/>
      <c r="M11" s="41"/>
      <c r="N11" s="41"/>
      <c r="O11" s="122"/>
      <c r="P11" s="123">
        <f t="shared" si="6"/>
        <v>0</v>
      </c>
      <c r="Q11" s="123">
        <f t="shared" si="7"/>
        <v>0</v>
      </c>
      <c r="S11" s="119" t="s">
        <v>10</v>
      </c>
      <c r="T11" s="41"/>
      <c r="U11" s="41"/>
      <c r="V11" s="41">
        <f t="shared" si="0"/>
        <v>17.135904055071528</v>
      </c>
      <c r="W11" s="41">
        <f t="shared" si="0"/>
        <v>13.847494068801899</v>
      </c>
      <c r="X11" s="122">
        <f t="shared" si="8"/>
        <v>15.491699061936714</v>
      </c>
      <c r="Y11" s="123">
        <f t="shared" si="9"/>
        <v>17.135904055071528</v>
      </c>
      <c r="Z11" s="123">
        <f t="shared" si="10"/>
        <v>13.847494068801899</v>
      </c>
      <c r="AB11" s="119" t="s">
        <v>10</v>
      </c>
      <c r="AC11" s="41" t="e">
        <f t="shared" si="11"/>
        <v>#DIV/0!</v>
      </c>
      <c r="AD11" s="41" t="e">
        <f t="shared" si="12"/>
        <v>#DIV/0!</v>
      </c>
      <c r="AE11" s="41">
        <f t="shared" si="13"/>
        <v>2.9870678986882271</v>
      </c>
      <c r="AF11" s="41">
        <f t="shared" si="14"/>
        <v>0.8935937628908508</v>
      </c>
      <c r="AG11" s="122" t="e">
        <f t="shared" si="15"/>
        <v>#DIV/0!</v>
      </c>
      <c r="AH11" s="123" t="e">
        <f t="shared" si="16"/>
        <v>#DIV/0!</v>
      </c>
      <c r="AI11" s="123" t="e">
        <f t="shared" si="17"/>
        <v>#DIV/0!</v>
      </c>
      <c r="AK11" s="119" t="s">
        <v>10</v>
      </c>
      <c r="AL11" s="41"/>
      <c r="AM11" s="41"/>
      <c r="AN11" s="41">
        <f t="shared" si="23"/>
        <v>7.2329974060049498</v>
      </c>
      <c r="AO11" s="41">
        <f t="shared" si="22"/>
        <v>3.0047324100494124</v>
      </c>
      <c r="AP11" s="146">
        <f t="shared" si="19"/>
        <v>5.1188649080271809</v>
      </c>
      <c r="AQ11" s="123">
        <f t="shared" si="20"/>
        <v>7.2329974060049498</v>
      </c>
      <c r="AR11" s="123">
        <f t="shared" si="21"/>
        <v>3.0047324100494124</v>
      </c>
    </row>
    <row r="12" spans="1:44" x14ac:dyDescent="0.25">
      <c r="A12" s="119" t="s">
        <v>11</v>
      </c>
      <c r="B12" s="133">
        <v>0</v>
      </c>
      <c r="C12" s="133">
        <v>0</v>
      </c>
      <c r="D12" s="133">
        <f>'PORTO VECCHIO 2016'!BC13+'PORTO VECCHIO 2016'!BC30</f>
        <v>9015.1999999999989</v>
      </c>
      <c r="E12" s="133">
        <f>'PORTO VECCHIO 2017'!BC13+'PORTO VECCHIO 2017'!BC30</f>
        <v>855.59999999999991</v>
      </c>
      <c r="F12" s="127">
        <f t="shared" si="3"/>
        <v>2467.6999999999998</v>
      </c>
      <c r="G12" s="127">
        <f t="shared" si="4"/>
        <v>4383.5947668551653</v>
      </c>
      <c r="H12" s="127">
        <f t="shared" si="5"/>
        <v>4383.5947668551653</v>
      </c>
      <c r="J12" s="119" t="s">
        <v>11</v>
      </c>
      <c r="K12" s="41"/>
      <c r="L12" s="41"/>
      <c r="M12" s="41"/>
      <c r="N12" s="41"/>
      <c r="O12" s="122"/>
      <c r="P12" s="123">
        <f t="shared" si="6"/>
        <v>0</v>
      </c>
      <c r="Q12" s="123">
        <f t="shared" si="7"/>
        <v>0</v>
      </c>
      <c r="S12" s="119" t="s">
        <v>11</v>
      </c>
      <c r="T12" s="41"/>
      <c r="U12" s="41"/>
      <c r="V12" s="41">
        <f t="shared" si="0"/>
        <v>1.4504392581418051</v>
      </c>
      <c r="W12" s="41">
        <f t="shared" si="0"/>
        <v>15.390369331463303</v>
      </c>
      <c r="X12" s="122">
        <f t="shared" si="8"/>
        <v>8.4204042948025535</v>
      </c>
      <c r="Y12" s="123">
        <f t="shared" si="9"/>
        <v>15.390369331463303</v>
      </c>
      <c r="Z12" s="123">
        <f t="shared" si="10"/>
        <v>1.4504392581418051</v>
      </c>
      <c r="AB12" s="119" t="s">
        <v>11</v>
      </c>
      <c r="AC12" s="41" t="e">
        <f t="shared" si="11"/>
        <v>#DIV/0!</v>
      </c>
      <c r="AD12" s="41" t="e">
        <f t="shared" si="12"/>
        <v>#DIV/0!</v>
      </c>
      <c r="AE12" s="41">
        <f t="shared" si="13"/>
        <v>1.0054863460110553E-2</v>
      </c>
      <c r="AF12" s="41">
        <f t="shared" si="14"/>
        <v>0.10209553667189177</v>
      </c>
      <c r="AG12" s="122" t="e">
        <f t="shared" si="15"/>
        <v>#DIV/0!</v>
      </c>
      <c r="AH12" s="123" t="e">
        <f t="shared" si="16"/>
        <v>#DIV/0!</v>
      </c>
      <c r="AI12" s="123" t="e">
        <f t="shared" si="17"/>
        <v>#DIV/0!</v>
      </c>
      <c r="AK12" s="119" t="s">
        <v>11</v>
      </c>
      <c r="AL12" s="41"/>
      <c r="AM12" s="41"/>
      <c r="AN12" s="41">
        <f t="shared" si="23"/>
        <v>0.70879445805525054</v>
      </c>
      <c r="AO12" s="41">
        <f t="shared" si="22"/>
        <v>2.3287399246354283</v>
      </c>
      <c r="AP12" s="146">
        <f t="shared" si="19"/>
        <v>1.5187671913453396</v>
      </c>
      <c r="AQ12" s="123">
        <f t="shared" si="20"/>
        <v>2.3287399246354283</v>
      </c>
      <c r="AR12" s="123">
        <f t="shared" si="21"/>
        <v>0.70879445805525054</v>
      </c>
    </row>
    <row r="13" spans="1:44" x14ac:dyDescent="0.25">
      <c r="A13" s="119" t="s">
        <v>12</v>
      </c>
      <c r="B13" s="133">
        <v>0</v>
      </c>
      <c r="C13" s="133">
        <v>0</v>
      </c>
      <c r="D13" s="133">
        <f>'PORTO VECCHIO 2016'!BC14+'PORTO VECCHIO 2016'!BC31</f>
        <v>614</v>
      </c>
      <c r="E13" s="133"/>
      <c r="F13" s="127">
        <f t="shared" si="3"/>
        <v>204.66666666666666</v>
      </c>
      <c r="G13" s="127">
        <f t="shared" si="4"/>
        <v>354.49306528243022</v>
      </c>
      <c r="H13" s="127">
        <f t="shared" si="5"/>
        <v>354.49306528243022</v>
      </c>
      <c r="J13" s="119" t="s">
        <v>12</v>
      </c>
      <c r="K13" s="41"/>
      <c r="L13" s="41"/>
      <c r="M13" s="41"/>
      <c r="N13" s="41"/>
      <c r="O13" s="122"/>
      <c r="P13" s="123">
        <f t="shared" si="6"/>
        <v>0</v>
      </c>
      <c r="Q13" s="123">
        <f t="shared" si="7"/>
        <v>0</v>
      </c>
      <c r="S13" s="119" t="s">
        <v>12</v>
      </c>
      <c r="T13" s="41"/>
      <c r="U13" s="41"/>
      <c r="V13" s="41">
        <f t="shared" si="0"/>
        <v>17.496742671009773</v>
      </c>
      <c r="W13" s="41"/>
      <c r="X13" s="122">
        <f t="shared" si="8"/>
        <v>17.496742671009773</v>
      </c>
      <c r="Y13" s="123">
        <f t="shared" si="9"/>
        <v>17.496742671009773</v>
      </c>
      <c r="Z13" s="123">
        <f t="shared" si="10"/>
        <v>17.496742671009773</v>
      </c>
      <c r="AB13" s="119" t="s">
        <v>12</v>
      </c>
      <c r="AC13" s="41" t="e">
        <f t="shared" si="11"/>
        <v>#DIV/0!</v>
      </c>
      <c r="AD13" s="41" t="e">
        <f t="shared" si="12"/>
        <v>#DIV/0!</v>
      </c>
      <c r="AE13" s="41" t="e">
        <f t="shared" si="13"/>
        <v>#DIV/0!</v>
      </c>
      <c r="AF13" s="41" t="e">
        <f t="shared" si="14"/>
        <v>#DIV/0!</v>
      </c>
      <c r="AG13" s="122" t="e">
        <f t="shared" si="15"/>
        <v>#DIV/0!</v>
      </c>
      <c r="AH13" s="123" t="e">
        <f t="shared" si="16"/>
        <v>#DIV/0!</v>
      </c>
      <c r="AI13" s="123" t="e">
        <f t="shared" si="17"/>
        <v>#DIV/0!</v>
      </c>
      <c r="AK13" s="119" t="s">
        <v>12</v>
      </c>
      <c r="AL13" s="41"/>
      <c r="AM13" s="41"/>
      <c r="AN13" s="41">
        <f t="shared" si="23"/>
        <v>11.882736156351791</v>
      </c>
      <c r="AO13" s="41"/>
      <c r="AP13" s="146">
        <f t="shared" si="19"/>
        <v>11.882736156351791</v>
      </c>
      <c r="AQ13" s="123">
        <f t="shared" si="20"/>
        <v>11.882736156351791</v>
      </c>
      <c r="AR13" s="123">
        <f t="shared" si="21"/>
        <v>11.882736156351791</v>
      </c>
    </row>
    <row r="14" spans="1:44" ht="15.75" thickBot="1" x14ac:dyDescent="0.3">
      <c r="A14" s="119" t="s">
        <v>13</v>
      </c>
      <c r="B14" s="133">
        <v>0</v>
      </c>
      <c r="C14" s="133">
        <v>0</v>
      </c>
      <c r="D14" s="133">
        <f>'PORTO VECCHIO 2016'!BC15+'PORTO VECCHIO 2016'!BC32</f>
        <v>3137.2</v>
      </c>
      <c r="E14" s="133"/>
      <c r="F14" s="127">
        <f t="shared" si="3"/>
        <v>1045.7333333333333</v>
      </c>
      <c r="G14" s="127">
        <f t="shared" si="4"/>
        <v>1811.2632645016936</v>
      </c>
      <c r="H14" s="127">
        <f t="shared" si="5"/>
        <v>1811.2632645016936</v>
      </c>
      <c r="J14" s="139" t="s">
        <v>13</v>
      </c>
      <c r="K14" s="66"/>
      <c r="L14" s="66"/>
      <c r="M14" s="66"/>
      <c r="N14" s="66"/>
      <c r="O14" s="122"/>
      <c r="P14" s="123">
        <f t="shared" si="6"/>
        <v>0</v>
      </c>
      <c r="Q14" s="123">
        <f t="shared" si="7"/>
        <v>0</v>
      </c>
      <c r="S14" s="139" t="s">
        <v>13</v>
      </c>
      <c r="T14" s="66"/>
      <c r="U14" s="66"/>
      <c r="V14" s="66">
        <f t="shared" si="0"/>
        <v>2.6093331633303585</v>
      </c>
      <c r="W14" s="66"/>
      <c r="X14" s="122">
        <f t="shared" si="8"/>
        <v>2.6093331633303585</v>
      </c>
      <c r="Y14" s="123">
        <f t="shared" si="9"/>
        <v>2.6093331633303585</v>
      </c>
      <c r="Z14" s="123">
        <f t="shared" si="10"/>
        <v>2.6093331633303585</v>
      </c>
      <c r="AB14" s="139" t="s">
        <v>13</v>
      </c>
      <c r="AC14" s="41" t="e">
        <f t="shared" si="11"/>
        <v>#DIV/0!</v>
      </c>
      <c r="AD14" s="41" t="e">
        <f t="shared" si="12"/>
        <v>#DIV/0!</v>
      </c>
      <c r="AE14" s="41">
        <f t="shared" si="13"/>
        <v>0.18032458425165301</v>
      </c>
      <c r="AF14" s="41" t="e">
        <f t="shared" si="14"/>
        <v>#DIV/0!</v>
      </c>
      <c r="AG14" s="122" t="e">
        <f t="shared" si="15"/>
        <v>#DIV/0!</v>
      </c>
      <c r="AH14" s="123" t="e">
        <f t="shared" si="16"/>
        <v>#DIV/0!</v>
      </c>
      <c r="AI14" s="123" t="e">
        <f t="shared" si="17"/>
        <v>#DIV/0!</v>
      </c>
      <c r="AK14" s="139" t="s">
        <v>13</v>
      </c>
      <c r="AL14" s="41"/>
      <c r="AM14" s="41"/>
      <c r="AN14" s="41">
        <f t="shared" si="23"/>
        <v>1.2898937511982003</v>
      </c>
      <c r="AO14" s="41"/>
      <c r="AP14" s="146">
        <f t="shared" si="19"/>
        <v>1.2898937511982003</v>
      </c>
      <c r="AQ14" s="123">
        <f t="shared" si="20"/>
        <v>1.2898937511982003</v>
      </c>
      <c r="AR14" s="123">
        <f t="shared" si="21"/>
        <v>1.2898937511982003</v>
      </c>
    </row>
    <row r="15" spans="1:44" ht="16.5" thickTop="1" thickBot="1" x14ac:dyDescent="0.3">
      <c r="A15" s="128" t="s">
        <v>0</v>
      </c>
      <c r="B15" s="129">
        <f t="shared" ref="B15:D15" si="24">SUM(B3:B14)</f>
        <v>1304</v>
      </c>
      <c r="C15" s="129">
        <f t="shared" si="24"/>
        <v>0</v>
      </c>
      <c r="D15" s="129">
        <f t="shared" si="24"/>
        <v>16133.68</v>
      </c>
      <c r="E15" s="129">
        <f>SUM(E3:E14)</f>
        <v>6696.7999999999993</v>
      </c>
      <c r="J15" s="138" t="s">
        <v>1</v>
      </c>
      <c r="K15" s="61"/>
      <c r="L15" s="61"/>
      <c r="M15" s="61"/>
      <c r="N15" s="61"/>
      <c r="S15" s="138" t="s">
        <v>1</v>
      </c>
      <c r="T15" s="61">
        <f>AVERAGE(T3:T14)</f>
        <v>5.7783742331288339</v>
      </c>
      <c r="U15" s="61"/>
      <c r="V15" s="61">
        <f t="shared" ref="V15" si="25">AVERAGE(V3:V14)</f>
        <v>24.513263840786749</v>
      </c>
      <c r="W15" s="61">
        <f>AVERAGE(W3:W14)</f>
        <v>20.416115183506843</v>
      </c>
      <c r="AB15" s="138" t="s">
        <v>1</v>
      </c>
      <c r="AC15" s="61" t="e">
        <f>AVERAGE(AC3:AC14)</f>
        <v>#DIV/0!</v>
      </c>
      <c r="AD15" s="61" t="e">
        <f t="shared" ref="AD15:AE15" si="26">AVERAGE(AD3:AD14)</f>
        <v>#DIV/0!</v>
      </c>
      <c r="AE15" s="61" t="e">
        <f t="shared" si="26"/>
        <v>#DIV/0!</v>
      </c>
      <c r="AF15" s="61" t="e">
        <f>AVERAGE(AF3:AF14)</f>
        <v>#DIV/0!</v>
      </c>
      <c r="AK15" s="138" t="s">
        <v>1</v>
      </c>
      <c r="AL15" s="145">
        <f>AVERAGE(AL3:AL14)</f>
        <v>1.6965033102503615</v>
      </c>
      <c r="AM15" s="145"/>
      <c r="AN15" s="145">
        <f t="shared" ref="AN15" si="27">AVERAGE(AN3:AN14)</f>
        <v>26.893793024654084</v>
      </c>
      <c r="AO15" s="145"/>
      <c r="AP15" s="148"/>
    </row>
    <row r="16" spans="1:44" ht="15.75" thickTop="1" x14ac:dyDescent="0.25">
      <c r="A16" s="144" t="s">
        <v>72</v>
      </c>
      <c r="B16" s="39"/>
      <c r="F16" s="127"/>
      <c r="AL16" s="148"/>
      <c r="AM16" s="148"/>
      <c r="AN16" s="148"/>
      <c r="AO16" s="148"/>
      <c r="AP16" s="148"/>
    </row>
    <row r="17" spans="1:35" x14ac:dyDescent="0.25">
      <c r="A17" s="130" t="s">
        <v>15</v>
      </c>
      <c r="B17" s="127">
        <f t="shared" ref="B17:H17" si="28">AVERAGE(B3:B5,B12:B14)</f>
        <v>217.33333333333334</v>
      </c>
      <c r="C17" s="127">
        <f t="shared" si="28"/>
        <v>0</v>
      </c>
      <c r="D17" s="127">
        <f t="shared" si="28"/>
        <v>2184.4666666666667</v>
      </c>
      <c r="E17" s="127">
        <f t="shared" si="28"/>
        <v>299</v>
      </c>
      <c r="F17" s="127">
        <f t="shared" si="28"/>
        <v>702.38333333333321</v>
      </c>
      <c r="G17" s="127">
        <f t="shared" si="28"/>
        <v>1232.9801880452396</v>
      </c>
      <c r="H17" s="127">
        <f t="shared" si="28"/>
        <v>1232.9801880452396</v>
      </c>
    </row>
    <row r="18" spans="1:35" x14ac:dyDescent="0.25">
      <c r="A18" s="130" t="s">
        <v>16</v>
      </c>
      <c r="B18" s="127">
        <f t="shared" ref="B18:H18" si="29">AVERAGE(B6:B11)</f>
        <v>0</v>
      </c>
      <c r="C18" s="127">
        <f t="shared" si="29"/>
        <v>0</v>
      </c>
      <c r="D18" s="127">
        <f t="shared" si="29"/>
        <v>504.48</v>
      </c>
      <c r="E18" s="127">
        <f t="shared" si="29"/>
        <v>916.80000000000007</v>
      </c>
      <c r="F18" s="127">
        <f t="shared" si="29"/>
        <v>355.32</v>
      </c>
      <c r="G18" s="127">
        <f t="shared" si="29"/>
        <v>486.05331003979296</v>
      </c>
      <c r="H18" s="127">
        <f t="shared" si="29"/>
        <v>486.05331003979296</v>
      </c>
    </row>
    <row r="19" spans="1:35" ht="15.75" thickBot="1" x14ac:dyDescent="0.3"/>
    <row r="20" spans="1:35" ht="17.25" thickTop="1" thickBot="1" x14ac:dyDescent="0.3">
      <c r="A20" s="140" t="s">
        <v>95</v>
      </c>
      <c r="B20" s="141"/>
      <c r="C20" s="141"/>
      <c r="D20" s="141"/>
      <c r="E20" s="141"/>
      <c r="F20" s="142"/>
      <c r="J20" s="140" t="s">
        <v>215</v>
      </c>
      <c r="K20" s="141"/>
      <c r="L20" s="141"/>
      <c r="M20" s="141"/>
      <c r="N20" s="141"/>
      <c r="O20" s="142"/>
      <c r="S20" s="140" t="s">
        <v>169</v>
      </c>
      <c r="T20" s="141"/>
      <c r="U20" s="141"/>
      <c r="V20" s="141"/>
      <c r="W20" s="141"/>
      <c r="X20" s="142"/>
      <c r="AB20" s="149" t="s">
        <v>170</v>
      </c>
      <c r="AC20" s="164"/>
      <c r="AD20" s="164"/>
      <c r="AE20" s="164"/>
      <c r="AF20" s="164"/>
      <c r="AG20" s="150"/>
      <c r="AH20" s="148"/>
      <c r="AI20" s="148"/>
    </row>
    <row r="21" spans="1:35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117" t="s">
        <v>18</v>
      </c>
      <c r="Q21" s="117" t="s">
        <v>17</v>
      </c>
      <c r="S21" s="124"/>
      <c r="T21" s="125">
        <v>2014</v>
      </c>
      <c r="U21" s="125">
        <v>2015</v>
      </c>
      <c r="V21" s="125">
        <v>2016</v>
      </c>
      <c r="W21" s="125">
        <v>2017</v>
      </c>
      <c r="X21" s="126" t="s">
        <v>1</v>
      </c>
      <c r="Y21" s="117" t="s">
        <v>18</v>
      </c>
      <c r="Z21" s="117" t="s">
        <v>17</v>
      </c>
      <c r="AB21" s="151"/>
      <c r="AC21" s="147">
        <v>2014</v>
      </c>
      <c r="AD21" s="147">
        <v>2015</v>
      </c>
      <c r="AE21" s="147">
        <v>2016</v>
      </c>
      <c r="AF21" s="147">
        <v>2017</v>
      </c>
      <c r="AG21" s="152" t="s">
        <v>1</v>
      </c>
      <c r="AH21" s="165" t="s">
        <v>18</v>
      </c>
      <c r="AI21" s="165" t="s">
        <v>17</v>
      </c>
    </row>
    <row r="22" spans="1:35" x14ac:dyDescent="0.25">
      <c r="A22" s="119" t="s">
        <v>2</v>
      </c>
      <c r="B22" s="84">
        <v>0</v>
      </c>
      <c r="C22" s="84">
        <v>0</v>
      </c>
      <c r="D22" s="84">
        <v>0</v>
      </c>
      <c r="E22" s="84">
        <v>486</v>
      </c>
      <c r="F22" s="127">
        <f>AVERAGE(B22:E22)</f>
        <v>121.5</v>
      </c>
      <c r="G22" s="127">
        <f>STDEVA(B22:E22)</f>
        <v>243</v>
      </c>
      <c r="H22" s="127">
        <f>STDEVA(B22:E22)</f>
        <v>243</v>
      </c>
      <c r="I22" s="122"/>
      <c r="J22" s="119" t="s">
        <v>2</v>
      </c>
      <c r="K22" s="134">
        <f>B22+B74</f>
        <v>0</v>
      </c>
      <c r="L22" s="134">
        <f t="shared" ref="L22:N33" si="30">C22+C74</f>
        <v>0</v>
      </c>
      <c r="M22" s="134">
        <f t="shared" si="30"/>
        <v>0</v>
      </c>
      <c r="N22" s="134">
        <f t="shared" si="30"/>
        <v>1476</v>
      </c>
      <c r="O22" s="127">
        <f t="shared" ref="O22:O33" si="31">AVERAGE(K22:N22)</f>
        <v>369</v>
      </c>
      <c r="P22" s="127">
        <f t="shared" ref="P22:P33" si="32">STDEVA(K22:N22)</f>
        <v>738</v>
      </c>
      <c r="Q22" s="127">
        <f t="shared" ref="Q22:Q33" si="33">STDEVA(K22:N22)</f>
        <v>738</v>
      </c>
      <c r="S22" s="119" t="s">
        <v>2</v>
      </c>
      <c r="T22" s="134">
        <f t="shared" ref="T22:T33" si="34">K22+B91+B41+B127</f>
        <v>7702</v>
      </c>
      <c r="U22" s="134">
        <f t="shared" ref="U22:U33" si="35">L22+C91+C41+C127</f>
        <v>10779</v>
      </c>
      <c r="V22" s="134">
        <f t="shared" ref="V22:V33" si="36">M22+D91+D41+D127</f>
        <v>8161</v>
      </c>
      <c r="W22" s="134">
        <f t="shared" ref="W22:W33" si="37">N22+E91+E41+E127</f>
        <v>14128</v>
      </c>
      <c r="X22" s="127">
        <f t="shared" ref="X22:X33" si="38">AVERAGE(T22:W22)</f>
        <v>10192.5</v>
      </c>
      <c r="Y22" s="127">
        <f t="shared" ref="Y22:Y33" si="39">STDEVA(T22:W22)</f>
        <v>2953.0619702268355</v>
      </c>
      <c r="Z22" s="127">
        <f t="shared" ref="Z22:Z33" si="40">STDEVA(T22:W22)</f>
        <v>2953.0619702268355</v>
      </c>
      <c r="AB22" s="153" t="s">
        <v>2</v>
      </c>
      <c r="AC22" s="77">
        <f>(B3+B108+B127)-T22</f>
        <v>-7702</v>
      </c>
      <c r="AD22" s="77">
        <f t="shared" ref="AD22:AF22" si="41">(C3+C108+C127)-U22</f>
        <v>-10779</v>
      </c>
      <c r="AE22" s="77">
        <f t="shared" si="41"/>
        <v>-7820.6</v>
      </c>
      <c r="AF22" s="77">
        <f t="shared" si="41"/>
        <v>-11780.6</v>
      </c>
      <c r="AG22" s="166">
        <f t="shared" ref="AG22:AG33" si="42">AVERAGE(AC22:AF22)</f>
        <v>-9520.5499999999993</v>
      </c>
      <c r="AH22" s="167">
        <f t="shared" ref="AH22:AH33" si="43">MAX(AC22:AF22)</f>
        <v>-7702</v>
      </c>
      <c r="AI22" s="167">
        <f t="shared" ref="AI22:AI33" si="44">MIN(AC22:AF22)</f>
        <v>-11780.6</v>
      </c>
    </row>
    <row r="23" spans="1:35" x14ac:dyDescent="0.25">
      <c r="A23" s="119" t="s">
        <v>3</v>
      </c>
      <c r="B23" s="84">
        <v>0</v>
      </c>
      <c r="C23" s="84">
        <v>0</v>
      </c>
      <c r="D23" s="84">
        <v>0</v>
      </c>
      <c r="E23" s="84">
        <v>526</v>
      </c>
      <c r="F23" s="127">
        <f t="shared" ref="F23:F34" si="45">AVERAGE(B23:E23)</f>
        <v>131.5</v>
      </c>
      <c r="G23" s="127">
        <f t="shared" ref="G23:G33" si="46">STDEVA(B23:E23)</f>
        <v>263</v>
      </c>
      <c r="H23" s="127">
        <f t="shared" ref="H23:H33" si="47">STDEVA(B23:E23)</f>
        <v>263</v>
      </c>
      <c r="I23" s="122"/>
      <c r="J23" s="119" t="s">
        <v>3</v>
      </c>
      <c r="K23" s="134">
        <f t="shared" ref="K23:K33" si="48">B23+B75</f>
        <v>183</v>
      </c>
      <c r="L23" s="134">
        <f t="shared" si="30"/>
        <v>0</v>
      </c>
      <c r="M23" s="134">
        <f t="shared" si="30"/>
        <v>0</v>
      </c>
      <c r="N23" s="134">
        <f t="shared" si="30"/>
        <v>1864</v>
      </c>
      <c r="O23" s="127">
        <f t="shared" si="31"/>
        <v>511.75</v>
      </c>
      <c r="P23" s="127">
        <f t="shared" si="32"/>
        <v>905.61815904938658</v>
      </c>
      <c r="Q23" s="127">
        <f t="shared" si="33"/>
        <v>905.61815904938658</v>
      </c>
      <c r="S23" s="119" t="s">
        <v>3</v>
      </c>
      <c r="T23" s="134">
        <f t="shared" si="34"/>
        <v>11102</v>
      </c>
      <c r="U23" s="134">
        <f t="shared" si="35"/>
        <v>11720</v>
      </c>
      <c r="V23" s="134">
        <f t="shared" si="36"/>
        <v>12595</v>
      </c>
      <c r="W23" s="134">
        <f t="shared" si="37"/>
        <v>17903</v>
      </c>
      <c r="X23" s="127">
        <f t="shared" si="38"/>
        <v>13330</v>
      </c>
      <c r="Y23" s="127">
        <f t="shared" si="39"/>
        <v>3109.5893619576204</v>
      </c>
      <c r="Z23" s="127">
        <f t="shared" si="40"/>
        <v>3109.5893619576204</v>
      </c>
      <c r="AB23" s="153" t="s">
        <v>3</v>
      </c>
      <c r="AC23" s="77">
        <f t="shared" ref="AC23:AC33" si="49">(B4+B109+B128)-T23</f>
        <v>-8999.44</v>
      </c>
      <c r="AD23" s="77">
        <f t="shared" ref="AD23:AD33" si="50">(C4+C109+C128)-U23</f>
        <v>-11720</v>
      </c>
      <c r="AE23" s="77">
        <f t="shared" ref="AE23:AE33" si="51">(D4+D109+D128)-V23</f>
        <v>-12595</v>
      </c>
      <c r="AF23" s="77">
        <f t="shared" ref="AF23:AF32" si="52">(E4+E109+E128)-W23</f>
        <v>-15413</v>
      </c>
      <c r="AG23" s="166">
        <f t="shared" si="42"/>
        <v>-12181.86</v>
      </c>
      <c r="AH23" s="167">
        <f t="shared" si="43"/>
        <v>-8999.44</v>
      </c>
      <c r="AI23" s="167">
        <f t="shared" si="44"/>
        <v>-15413</v>
      </c>
    </row>
    <row r="24" spans="1:35" x14ac:dyDescent="0.25">
      <c r="A24" s="119" t="s">
        <v>4</v>
      </c>
      <c r="B24" s="84">
        <v>0</v>
      </c>
      <c r="C24" s="84">
        <v>0</v>
      </c>
      <c r="D24" s="84">
        <v>0</v>
      </c>
      <c r="E24" s="84">
        <v>1260</v>
      </c>
      <c r="F24" s="127">
        <f t="shared" si="45"/>
        <v>315</v>
      </c>
      <c r="G24" s="127">
        <f t="shared" si="46"/>
        <v>630</v>
      </c>
      <c r="H24" s="127">
        <f t="shared" si="47"/>
        <v>630</v>
      </c>
      <c r="I24" s="122"/>
      <c r="J24" s="119" t="s">
        <v>4</v>
      </c>
      <c r="K24" s="134">
        <f t="shared" si="48"/>
        <v>0</v>
      </c>
      <c r="L24" s="134">
        <f t="shared" si="30"/>
        <v>0</v>
      </c>
      <c r="M24" s="134">
        <f t="shared" si="30"/>
        <v>0</v>
      </c>
      <c r="N24" s="134">
        <f t="shared" si="30"/>
        <v>3036</v>
      </c>
      <c r="O24" s="127">
        <f t="shared" si="31"/>
        <v>759</v>
      </c>
      <c r="P24" s="127">
        <f t="shared" si="32"/>
        <v>1518</v>
      </c>
      <c r="Q24" s="127">
        <f t="shared" si="33"/>
        <v>1518</v>
      </c>
      <c r="S24" s="119" t="s">
        <v>4</v>
      </c>
      <c r="T24" s="134">
        <f t="shared" si="34"/>
        <v>12811</v>
      </c>
      <c r="U24" s="134">
        <f t="shared" si="35"/>
        <v>13135</v>
      </c>
      <c r="V24" s="134">
        <f t="shared" si="36"/>
        <v>13053</v>
      </c>
      <c r="W24" s="134">
        <f t="shared" si="37"/>
        <v>23796</v>
      </c>
      <c r="X24" s="127">
        <f t="shared" si="38"/>
        <v>15698.75</v>
      </c>
      <c r="Y24" s="127">
        <f t="shared" si="39"/>
        <v>5399.9186645109139</v>
      </c>
      <c r="Z24" s="127">
        <f t="shared" si="40"/>
        <v>5399.9186645109139</v>
      </c>
      <c r="AB24" s="153" t="s">
        <v>4</v>
      </c>
      <c r="AC24" s="77">
        <f t="shared" si="49"/>
        <v>-12811</v>
      </c>
      <c r="AD24" s="77">
        <f t="shared" si="50"/>
        <v>-13135</v>
      </c>
      <c r="AE24" s="77">
        <f t="shared" si="51"/>
        <v>-13053</v>
      </c>
      <c r="AF24" s="77">
        <f t="shared" si="52"/>
        <v>-21525</v>
      </c>
      <c r="AG24" s="166">
        <f t="shared" si="42"/>
        <v>-15131</v>
      </c>
      <c r="AH24" s="167">
        <f t="shared" si="43"/>
        <v>-12811</v>
      </c>
      <c r="AI24" s="167">
        <f t="shared" si="44"/>
        <v>-21525</v>
      </c>
    </row>
    <row r="25" spans="1:35" x14ac:dyDescent="0.25">
      <c r="A25" s="119" t="s">
        <v>5</v>
      </c>
      <c r="B25" s="84">
        <v>0</v>
      </c>
      <c r="C25" s="84">
        <v>0</v>
      </c>
      <c r="D25" s="84">
        <v>0</v>
      </c>
      <c r="E25" s="84">
        <v>846</v>
      </c>
      <c r="F25" s="127">
        <f t="shared" si="45"/>
        <v>211.5</v>
      </c>
      <c r="G25" s="127">
        <f t="shared" si="46"/>
        <v>423</v>
      </c>
      <c r="H25" s="127">
        <f t="shared" si="47"/>
        <v>423</v>
      </c>
      <c r="I25" s="122"/>
      <c r="J25" s="119" t="s">
        <v>5</v>
      </c>
      <c r="K25" s="134">
        <f t="shared" si="48"/>
        <v>0</v>
      </c>
      <c r="L25" s="134">
        <f t="shared" si="30"/>
        <v>0</v>
      </c>
      <c r="M25" s="134">
        <f t="shared" si="30"/>
        <v>0</v>
      </c>
      <c r="N25" s="134">
        <f t="shared" si="30"/>
        <v>1818</v>
      </c>
      <c r="O25" s="127">
        <f t="shared" si="31"/>
        <v>454.5</v>
      </c>
      <c r="P25" s="127">
        <f t="shared" si="32"/>
        <v>909</v>
      </c>
      <c r="Q25" s="127">
        <f t="shared" si="33"/>
        <v>909</v>
      </c>
      <c r="S25" s="119" t="s">
        <v>5</v>
      </c>
      <c r="T25" s="134">
        <f t="shared" si="34"/>
        <v>17556</v>
      </c>
      <c r="U25" s="134">
        <f t="shared" si="35"/>
        <v>17918</v>
      </c>
      <c r="V25" s="134">
        <f t="shared" si="36"/>
        <v>18336</v>
      </c>
      <c r="W25" s="134">
        <f t="shared" si="37"/>
        <v>25436</v>
      </c>
      <c r="X25" s="127">
        <f t="shared" si="38"/>
        <v>19811.5</v>
      </c>
      <c r="Y25" s="127">
        <f t="shared" si="39"/>
        <v>3763.1867258127563</v>
      </c>
      <c r="Z25" s="127">
        <f t="shared" si="40"/>
        <v>3763.1867258127563</v>
      </c>
      <c r="AB25" s="153" t="s">
        <v>5</v>
      </c>
      <c r="AC25" s="77">
        <f t="shared" si="49"/>
        <v>-17556</v>
      </c>
      <c r="AD25" s="77">
        <f t="shared" si="50"/>
        <v>-17918</v>
      </c>
      <c r="AE25" s="77">
        <f t="shared" si="51"/>
        <v>-18336</v>
      </c>
      <c r="AF25" s="77">
        <f t="shared" si="52"/>
        <v>-15024.320000000002</v>
      </c>
      <c r="AG25" s="166">
        <f t="shared" si="42"/>
        <v>-17208.580000000002</v>
      </c>
      <c r="AH25" s="167">
        <f t="shared" si="43"/>
        <v>-15024.320000000002</v>
      </c>
      <c r="AI25" s="167">
        <f t="shared" si="44"/>
        <v>-18336</v>
      </c>
    </row>
    <row r="26" spans="1:35" x14ac:dyDescent="0.25">
      <c r="A26" s="119" t="s">
        <v>6</v>
      </c>
      <c r="B26" s="84">
        <v>0</v>
      </c>
      <c r="C26" s="84">
        <v>0</v>
      </c>
      <c r="D26" s="84">
        <v>0</v>
      </c>
      <c r="E26" s="84">
        <v>1233</v>
      </c>
      <c r="F26" s="127">
        <f t="shared" si="45"/>
        <v>308.25</v>
      </c>
      <c r="G26" s="127">
        <f t="shared" si="46"/>
        <v>616.5</v>
      </c>
      <c r="H26" s="127">
        <f t="shared" si="47"/>
        <v>616.5</v>
      </c>
      <c r="I26" s="122"/>
      <c r="J26" s="119" t="s">
        <v>6</v>
      </c>
      <c r="K26" s="134">
        <f t="shared" si="48"/>
        <v>0</v>
      </c>
      <c r="L26" s="134">
        <f t="shared" si="30"/>
        <v>0</v>
      </c>
      <c r="M26" s="134">
        <f t="shared" si="30"/>
        <v>0</v>
      </c>
      <c r="N26" s="134">
        <f t="shared" si="30"/>
        <v>2742</v>
      </c>
      <c r="O26" s="127">
        <f t="shared" si="31"/>
        <v>685.5</v>
      </c>
      <c r="P26" s="127">
        <f t="shared" si="32"/>
        <v>1371</v>
      </c>
      <c r="Q26" s="127">
        <f t="shared" si="33"/>
        <v>1371</v>
      </c>
      <c r="S26" s="119" t="s">
        <v>6</v>
      </c>
      <c r="T26" s="134">
        <f t="shared" si="34"/>
        <v>22701</v>
      </c>
      <c r="U26" s="134">
        <f t="shared" si="35"/>
        <v>21030</v>
      </c>
      <c r="V26" s="134">
        <f t="shared" si="36"/>
        <v>22254</v>
      </c>
      <c r="W26" s="134">
        <f t="shared" si="37"/>
        <v>28413</v>
      </c>
      <c r="X26" s="127">
        <f t="shared" si="38"/>
        <v>23599.5</v>
      </c>
      <c r="Y26" s="127">
        <f t="shared" si="39"/>
        <v>3285.8172499395032</v>
      </c>
      <c r="Z26" s="127">
        <f t="shared" si="40"/>
        <v>3285.8172499395032</v>
      </c>
      <c r="AB26" s="153" t="s">
        <v>6</v>
      </c>
      <c r="AC26" s="77">
        <f t="shared" si="49"/>
        <v>-22701</v>
      </c>
      <c r="AD26" s="77">
        <f t="shared" si="50"/>
        <v>-21030</v>
      </c>
      <c r="AE26" s="77">
        <f t="shared" si="51"/>
        <v>-20994</v>
      </c>
      <c r="AF26" s="77">
        <f t="shared" si="52"/>
        <v>-21780.28</v>
      </c>
      <c r="AG26" s="166">
        <f t="shared" si="42"/>
        <v>-21626.32</v>
      </c>
      <c r="AH26" s="167">
        <f t="shared" si="43"/>
        <v>-20994</v>
      </c>
      <c r="AI26" s="167">
        <f t="shared" si="44"/>
        <v>-22701</v>
      </c>
    </row>
    <row r="27" spans="1:35" x14ac:dyDescent="0.25">
      <c r="A27" s="119" t="s">
        <v>7</v>
      </c>
      <c r="B27" s="84">
        <v>0</v>
      </c>
      <c r="C27" s="84">
        <v>0</v>
      </c>
      <c r="D27" s="84">
        <v>1316</v>
      </c>
      <c r="E27" s="84">
        <v>2204</v>
      </c>
      <c r="F27" s="127">
        <f t="shared" si="45"/>
        <v>880</v>
      </c>
      <c r="G27" s="127">
        <f t="shared" si="46"/>
        <v>1078.8685431197507</v>
      </c>
      <c r="H27" s="127">
        <f t="shared" si="47"/>
        <v>1078.8685431197507</v>
      </c>
      <c r="I27" s="122"/>
      <c r="J27" s="119" t="s">
        <v>7</v>
      </c>
      <c r="K27" s="134">
        <f t="shared" si="48"/>
        <v>0</v>
      </c>
      <c r="L27" s="134">
        <f t="shared" si="30"/>
        <v>0</v>
      </c>
      <c r="M27" s="134">
        <f t="shared" si="30"/>
        <v>3173</v>
      </c>
      <c r="N27" s="134">
        <f t="shared" si="30"/>
        <v>4151</v>
      </c>
      <c r="O27" s="127">
        <f t="shared" si="31"/>
        <v>1831</v>
      </c>
      <c r="P27" s="127">
        <f t="shared" si="32"/>
        <v>2151.626206694214</v>
      </c>
      <c r="Q27" s="127">
        <f t="shared" si="33"/>
        <v>2151.626206694214</v>
      </c>
      <c r="S27" s="119" t="s">
        <v>7</v>
      </c>
      <c r="T27" s="134">
        <f t="shared" si="34"/>
        <v>20993</v>
      </c>
      <c r="U27" s="134">
        <f t="shared" si="35"/>
        <v>24739</v>
      </c>
      <c r="V27" s="134">
        <f t="shared" si="36"/>
        <v>40163</v>
      </c>
      <c r="W27" s="134">
        <f t="shared" si="37"/>
        <v>43059</v>
      </c>
      <c r="X27" s="127">
        <f t="shared" si="38"/>
        <v>32238.5</v>
      </c>
      <c r="Y27" s="127">
        <f t="shared" si="39"/>
        <v>10993.705638530926</v>
      </c>
      <c r="Z27" s="127">
        <f t="shared" si="40"/>
        <v>10993.705638530926</v>
      </c>
      <c r="AB27" s="153" t="s">
        <v>7</v>
      </c>
      <c r="AC27" s="77">
        <f t="shared" si="49"/>
        <v>-20993</v>
      </c>
      <c r="AD27" s="77">
        <f t="shared" si="50"/>
        <v>-24739</v>
      </c>
      <c r="AE27" s="77">
        <f t="shared" si="51"/>
        <v>-24241.040000000001</v>
      </c>
      <c r="AF27" s="77">
        <f t="shared" si="52"/>
        <v>-28207.239999999998</v>
      </c>
      <c r="AG27" s="166">
        <f t="shared" si="42"/>
        <v>-24545.07</v>
      </c>
      <c r="AH27" s="167">
        <f t="shared" si="43"/>
        <v>-20993</v>
      </c>
      <c r="AI27" s="167">
        <f t="shared" si="44"/>
        <v>-28207.239999999998</v>
      </c>
    </row>
    <row r="28" spans="1:35" x14ac:dyDescent="0.25">
      <c r="A28" s="119" t="s">
        <v>8</v>
      </c>
      <c r="B28" s="84">
        <v>0</v>
      </c>
      <c r="C28" s="84">
        <v>0</v>
      </c>
      <c r="D28" s="84">
        <v>1488</v>
      </c>
      <c r="E28" s="84">
        <v>720</v>
      </c>
      <c r="F28" s="127">
        <f t="shared" si="45"/>
        <v>552</v>
      </c>
      <c r="G28" s="127">
        <f t="shared" si="46"/>
        <v>710.33513217353959</v>
      </c>
      <c r="H28" s="127">
        <f t="shared" si="47"/>
        <v>710.33513217353959</v>
      </c>
      <c r="I28" s="122"/>
      <c r="J28" s="119" t="s">
        <v>8</v>
      </c>
      <c r="K28" s="134">
        <f t="shared" si="48"/>
        <v>0</v>
      </c>
      <c r="L28" s="134">
        <f t="shared" si="30"/>
        <v>0</v>
      </c>
      <c r="M28" s="134">
        <f t="shared" si="30"/>
        <v>2394</v>
      </c>
      <c r="N28" s="134">
        <f t="shared" si="30"/>
        <v>4872</v>
      </c>
      <c r="O28" s="127">
        <f t="shared" si="31"/>
        <v>1816.5</v>
      </c>
      <c r="P28" s="127">
        <f t="shared" si="32"/>
        <v>2328.7286230902905</v>
      </c>
      <c r="Q28" s="127">
        <f t="shared" si="33"/>
        <v>2328.7286230902905</v>
      </c>
      <c r="S28" s="119" t="s">
        <v>8</v>
      </c>
      <c r="T28" s="134">
        <f t="shared" si="34"/>
        <v>21699</v>
      </c>
      <c r="U28" s="134">
        <f t="shared" si="35"/>
        <v>30407</v>
      </c>
      <c r="V28" s="134">
        <f t="shared" si="36"/>
        <v>45368</v>
      </c>
      <c r="W28" s="134">
        <f t="shared" si="37"/>
        <v>49676</v>
      </c>
      <c r="X28" s="127">
        <f t="shared" si="38"/>
        <v>36787.5</v>
      </c>
      <c r="Y28" s="127">
        <f t="shared" si="39"/>
        <v>13014.248921854845</v>
      </c>
      <c r="Z28" s="127">
        <f t="shared" si="40"/>
        <v>13014.248921854845</v>
      </c>
      <c r="AB28" s="153" t="s">
        <v>8</v>
      </c>
      <c r="AC28" s="77">
        <f t="shared" si="49"/>
        <v>-21699</v>
      </c>
      <c r="AD28" s="77">
        <f t="shared" si="50"/>
        <v>-30407</v>
      </c>
      <c r="AE28" s="77">
        <f t="shared" si="51"/>
        <v>-34918.879999999997</v>
      </c>
      <c r="AF28" s="77">
        <f t="shared" si="52"/>
        <v>-31031.440000000002</v>
      </c>
      <c r="AG28" s="166">
        <f t="shared" si="42"/>
        <v>-29514.080000000002</v>
      </c>
      <c r="AH28" s="167">
        <f t="shared" si="43"/>
        <v>-21699</v>
      </c>
      <c r="AI28" s="167">
        <f t="shared" si="44"/>
        <v>-34918.879999999997</v>
      </c>
    </row>
    <row r="29" spans="1:35" x14ac:dyDescent="0.25">
      <c r="A29" s="119" t="s">
        <v>9</v>
      </c>
      <c r="B29" s="84">
        <v>0</v>
      </c>
      <c r="C29" s="84">
        <v>0</v>
      </c>
      <c r="D29" s="84">
        <v>768</v>
      </c>
      <c r="E29" s="84">
        <v>321</v>
      </c>
      <c r="F29" s="127">
        <f t="shared" si="45"/>
        <v>272.25</v>
      </c>
      <c r="G29" s="127">
        <f t="shared" si="46"/>
        <v>363.49449789508509</v>
      </c>
      <c r="H29" s="127">
        <f t="shared" si="47"/>
        <v>363.49449789508509</v>
      </c>
      <c r="I29" s="122"/>
      <c r="J29" s="119" t="s">
        <v>9</v>
      </c>
      <c r="K29" s="134">
        <f t="shared" si="48"/>
        <v>0</v>
      </c>
      <c r="L29" s="134">
        <f t="shared" si="30"/>
        <v>0</v>
      </c>
      <c r="M29" s="134">
        <f t="shared" si="30"/>
        <v>1248</v>
      </c>
      <c r="N29" s="134">
        <f t="shared" si="30"/>
        <v>321</v>
      </c>
      <c r="O29" s="127">
        <f t="shared" si="31"/>
        <v>392.25</v>
      </c>
      <c r="P29" s="127">
        <f t="shared" si="32"/>
        <v>590.22728672944288</v>
      </c>
      <c r="Q29" s="127">
        <f t="shared" si="33"/>
        <v>590.22728672944288</v>
      </c>
      <c r="S29" s="119" t="s">
        <v>9</v>
      </c>
      <c r="T29" s="134">
        <f t="shared" si="34"/>
        <v>30473</v>
      </c>
      <c r="U29" s="134">
        <f t="shared" si="35"/>
        <v>31881</v>
      </c>
      <c r="V29" s="134">
        <f t="shared" si="36"/>
        <v>45651</v>
      </c>
      <c r="W29" s="134">
        <f t="shared" si="37"/>
        <v>46689</v>
      </c>
      <c r="X29" s="127">
        <f t="shared" si="38"/>
        <v>38673.5</v>
      </c>
      <c r="Y29" s="127">
        <f t="shared" si="39"/>
        <v>8685.6203578097975</v>
      </c>
      <c r="Z29" s="127">
        <f t="shared" si="40"/>
        <v>8685.6203578097975</v>
      </c>
      <c r="AB29" s="153" t="s">
        <v>9</v>
      </c>
      <c r="AC29" s="77">
        <f t="shared" si="49"/>
        <v>-30473</v>
      </c>
      <c r="AD29" s="77">
        <f t="shared" si="50"/>
        <v>-31881</v>
      </c>
      <c r="AE29" s="77">
        <f t="shared" si="51"/>
        <v>-31904.880000000001</v>
      </c>
      <c r="AF29" s="77">
        <f t="shared" si="52"/>
        <v>-36597</v>
      </c>
      <c r="AG29" s="166">
        <f t="shared" si="42"/>
        <v>-32713.97</v>
      </c>
      <c r="AH29" s="167">
        <f t="shared" si="43"/>
        <v>-30473</v>
      </c>
      <c r="AI29" s="167">
        <f t="shared" si="44"/>
        <v>-36597</v>
      </c>
    </row>
    <row r="30" spans="1:35" x14ac:dyDescent="0.25">
      <c r="A30" s="119" t="s">
        <v>10</v>
      </c>
      <c r="B30" s="84">
        <v>0</v>
      </c>
      <c r="C30" s="84">
        <v>0</v>
      </c>
      <c r="D30" s="84">
        <v>638</v>
      </c>
      <c r="E30" s="118">
        <v>965</v>
      </c>
      <c r="F30" s="127">
        <f t="shared" si="45"/>
        <v>400.75</v>
      </c>
      <c r="G30" s="127">
        <f t="shared" si="46"/>
        <v>481.61767340218461</v>
      </c>
      <c r="H30" s="127">
        <f t="shared" si="47"/>
        <v>481.61767340218461</v>
      </c>
      <c r="I30" s="122"/>
      <c r="J30" s="119" t="s">
        <v>10</v>
      </c>
      <c r="K30" s="134">
        <f t="shared" si="48"/>
        <v>0</v>
      </c>
      <c r="L30" s="134">
        <f t="shared" si="30"/>
        <v>0</v>
      </c>
      <c r="M30" s="134">
        <f t="shared" si="30"/>
        <v>2513</v>
      </c>
      <c r="N30" s="134">
        <f t="shared" si="30"/>
        <v>5075</v>
      </c>
      <c r="O30" s="127">
        <f t="shared" si="31"/>
        <v>1897</v>
      </c>
      <c r="P30" s="127">
        <f t="shared" si="32"/>
        <v>2427.368808676039</v>
      </c>
      <c r="Q30" s="127">
        <f t="shared" si="33"/>
        <v>2427.368808676039</v>
      </c>
      <c r="S30" s="119" t="s">
        <v>10</v>
      </c>
      <c r="T30" s="134">
        <f t="shared" si="34"/>
        <v>21736</v>
      </c>
      <c r="U30" s="134">
        <f t="shared" si="35"/>
        <v>22690</v>
      </c>
      <c r="V30" s="134">
        <f t="shared" si="36"/>
        <v>32152</v>
      </c>
      <c r="W30" s="134">
        <f t="shared" si="37"/>
        <v>35666</v>
      </c>
      <c r="X30" s="127">
        <f t="shared" si="38"/>
        <v>28061</v>
      </c>
      <c r="Y30" s="127">
        <f t="shared" si="39"/>
        <v>6914.370831825554</v>
      </c>
      <c r="Z30" s="127">
        <f t="shared" si="40"/>
        <v>6914.370831825554</v>
      </c>
      <c r="AB30" s="153" t="s">
        <v>10</v>
      </c>
      <c r="AC30" s="77">
        <f t="shared" si="49"/>
        <v>-21736</v>
      </c>
      <c r="AD30" s="77">
        <f t="shared" si="50"/>
        <v>-22690</v>
      </c>
      <c r="AE30" s="77">
        <f t="shared" si="51"/>
        <v>-23675.88</v>
      </c>
      <c r="AF30" s="77">
        <f t="shared" si="52"/>
        <v>-23569.88</v>
      </c>
      <c r="AG30" s="166">
        <f t="shared" si="42"/>
        <v>-22917.940000000002</v>
      </c>
      <c r="AH30" s="167">
        <f t="shared" si="43"/>
        <v>-21736</v>
      </c>
      <c r="AI30" s="167">
        <f t="shared" si="44"/>
        <v>-23675.88</v>
      </c>
    </row>
    <row r="31" spans="1:35" x14ac:dyDescent="0.25">
      <c r="A31" s="119" t="s">
        <v>11</v>
      </c>
      <c r="B31" s="84">
        <v>0</v>
      </c>
      <c r="C31" s="84">
        <v>0</v>
      </c>
      <c r="D31" s="84">
        <v>1477</v>
      </c>
      <c r="E31" s="118">
        <v>812</v>
      </c>
      <c r="F31" s="127">
        <f t="shared" si="45"/>
        <v>572.25</v>
      </c>
      <c r="G31" s="127">
        <f t="shared" si="46"/>
        <v>714.37449329232538</v>
      </c>
      <c r="H31" s="127">
        <f t="shared" si="47"/>
        <v>714.37449329232538</v>
      </c>
      <c r="I31" s="122"/>
      <c r="J31" s="119" t="s">
        <v>11</v>
      </c>
      <c r="K31" s="134">
        <f t="shared" si="48"/>
        <v>0</v>
      </c>
      <c r="L31" s="134">
        <f t="shared" si="30"/>
        <v>0</v>
      </c>
      <c r="M31" s="134">
        <f t="shared" si="30"/>
        <v>12595</v>
      </c>
      <c r="N31" s="134">
        <f t="shared" si="30"/>
        <v>3008</v>
      </c>
      <c r="O31" s="127">
        <f t="shared" si="31"/>
        <v>3900.75</v>
      </c>
      <c r="P31" s="127">
        <f t="shared" si="32"/>
        <v>5967.0955176422858</v>
      </c>
      <c r="Q31" s="127">
        <f t="shared" si="33"/>
        <v>5967.0955176422858</v>
      </c>
      <c r="S31" s="119" t="s">
        <v>11</v>
      </c>
      <c r="T31" s="134">
        <f t="shared" si="34"/>
        <v>17599</v>
      </c>
      <c r="U31" s="134">
        <f t="shared" si="35"/>
        <v>16741</v>
      </c>
      <c r="V31" s="134">
        <f t="shared" si="36"/>
        <v>33212</v>
      </c>
      <c r="W31" s="134">
        <f t="shared" si="37"/>
        <v>24193</v>
      </c>
      <c r="X31" s="127">
        <f t="shared" si="38"/>
        <v>22936.25</v>
      </c>
      <c r="Y31" s="127">
        <f t="shared" si="39"/>
        <v>7616.6007017566571</v>
      </c>
      <c r="Z31" s="127">
        <f t="shared" si="40"/>
        <v>7616.6007017566571</v>
      </c>
      <c r="AB31" s="153" t="s">
        <v>11</v>
      </c>
      <c r="AC31" s="77">
        <f t="shared" si="49"/>
        <v>-17599</v>
      </c>
      <c r="AD31" s="77">
        <f t="shared" si="50"/>
        <v>-16741</v>
      </c>
      <c r="AE31" s="77">
        <f t="shared" si="51"/>
        <v>-4608.2000000000044</v>
      </c>
      <c r="AF31" s="77">
        <f t="shared" si="52"/>
        <v>-19062.68</v>
      </c>
      <c r="AG31" s="166">
        <f t="shared" si="42"/>
        <v>-14502.720000000001</v>
      </c>
      <c r="AH31" s="167">
        <f t="shared" si="43"/>
        <v>-4608.2000000000044</v>
      </c>
      <c r="AI31" s="167">
        <f t="shared" si="44"/>
        <v>-19062.68</v>
      </c>
    </row>
    <row r="32" spans="1:35" x14ac:dyDescent="0.25">
      <c r="A32" s="119" t="s">
        <v>12</v>
      </c>
      <c r="B32" s="84">
        <v>0</v>
      </c>
      <c r="C32" s="84">
        <v>0</v>
      </c>
      <c r="D32" s="84">
        <v>311</v>
      </c>
      <c r="E32" s="117">
        <v>268</v>
      </c>
      <c r="F32" s="127">
        <f t="shared" si="45"/>
        <v>144.75</v>
      </c>
      <c r="G32" s="127">
        <f t="shared" si="46"/>
        <v>168.06224045473948</v>
      </c>
      <c r="H32" s="127">
        <f t="shared" si="47"/>
        <v>168.06224045473948</v>
      </c>
      <c r="I32" s="122"/>
      <c r="J32" s="119" t="s">
        <v>12</v>
      </c>
      <c r="K32" s="134">
        <f t="shared" si="48"/>
        <v>0</v>
      </c>
      <c r="L32" s="134">
        <f t="shared" si="30"/>
        <v>0</v>
      </c>
      <c r="M32" s="134">
        <f t="shared" si="30"/>
        <v>1793</v>
      </c>
      <c r="N32" s="134">
        <f t="shared" si="30"/>
        <v>268</v>
      </c>
      <c r="O32" s="127">
        <f t="shared" si="31"/>
        <v>515.25</v>
      </c>
      <c r="P32" s="127">
        <f t="shared" si="32"/>
        <v>861.15092560286234</v>
      </c>
      <c r="Q32" s="127">
        <f t="shared" si="33"/>
        <v>861.15092560286234</v>
      </c>
      <c r="S32" s="119" t="s">
        <v>12</v>
      </c>
      <c r="T32" s="134">
        <f t="shared" si="34"/>
        <v>9562</v>
      </c>
      <c r="U32" s="134">
        <f t="shared" si="35"/>
        <v>9027</v>
      </c>
      <c r="V32" s="134">
        <f t="shared" si="36"/>
        <v>18039</v>
      </c>
      <c r="W32" s="134">
        <f t="shared" si="37"/>
        <v>8115</v>
      </c>
      <c r="X32" s="127">
        <f t="shared" si="38"/>
        <v>11185.75</v>
      </c>
      <c r="Y32" s="127">
        <f t="shared" si="39"/>
        <v>4607.7220239506632</v>
      </c>
      <c r="Z32" s="127">
        <f t="shared" si="40"/>
        <v>4607.7220239506632</v>
      </c>
      <c r="AB32" s="153" t="s">
        <v>12</v>
      </c>
      <c r="AC32" s="77">
        <f t="shared" si="49"/>
        <v>-9562</v>
      </c>
      <c r="AD32" s="77">
        <f t="shared" si="50"/>
        <v>-9027</v>
      </c>
      <c r="AE32" s="77">
        <f t="shared" si="51"/>
        <v>-16744</v>
      </c>
      <c r="AF32" s="77">
        <f t="shared" si="52"/>
        <v>-8115</v>
      </c>
      <c r="AG32" s="166">
        <f t="shared" si="42"/>
        <v>-10862</v>
      </c>
      <c r="AH32" s="167">
        <f t="shared" si="43"/>
        <v>-8115</v>
      </c>
      <c r="AI32" s="167">
        <f t="shared" si="44"/>
        <v>-16744</v>
      </c>
    </row>
    <row r="33" spans="1:35" ht="15.75" thickBot="1" x14ac:dyDescent="0.3">
      <c r="A33" s="119" t="s">
        <v>13</v>
      </c>
      <c r="B33" s="84">
        <v>0</v>
      </c>
      <c r="C33" s="84">
        <v>0</v>
      </c>
      <c r="D33" s="67">
        <v>511</v>
      </c>
      <c r="E33" s="67"/>
      <c r="F33" s="127">
        <f t="shared" si="45"/>
        <v>170.33333333333334</v>
      </c>
      <c r="G33" s="127">
        <f t="shared" si="46"/>
        <v>295.02598755589878</v>
      </c>
      <c r="H33" s="127">
        <f t="shared" si="47"/>
        <v>295.02598755589878</v>
      </c>
      <c r="I33" s="122"/>
      <c r="J33" s="119" t="s">
        <v>13</v>
      </c>
      <c r="K33" s="134">
        <f t="shared" si="48"/>
        <v>0</v>
      </c>
      <c r="L33" s="134">
        <f t="shared" si="30"/>
        <v>0</v>
      </c>
      <c r="M33" s="134">
        <f t="shared" si="30"/>
        <v>4900</v>
      </c>
      <c r="N33" s="134"/>
      <c r="O33" s="127">
        <f t="shared" si="31"/>
        <v>1633.3333333333333</v>
      </c>
      <c r="P33" s="127">
        <f t="shared" si="32"/>
        <v>2829.0163190291664</v>
      </c>
      <c r="Q33" s="127">
        <f t="shared" si="33"/>
        <v>2829.0163190291664</v>
      </c>
      <c r="S33" s="119" t="s">
        <v>13</v>
      </c>
      <c r="T33" s="134">
        <f t="shared" si="34"/>
        <v>9897</v>
      </c>
      <c r="U33" s="134">
        <f t="shared" si="35"/>
        <v>10801</v>
      </c>
      <c r="V33" s="134">
        <f t="shared" si="36"/>
        <v>18413</v>
      </c>
      <c r="W33" s="134">
        <f t="shared" si="37"/>
        <v>0</v>
      </c>
      <c r="X33" s="127">
        <f t="shared" si="38"/>
        <v>9777.75</v>
      </c>
      <c r="Y33" s="127">
        <f t="shared" si="39"/>
        <v>7554.980669509795</v>
      </c>
      <c r="Z33" s="127">
        <f t="shared" si="40"/>
        <v>7554.980669509795</v>
      </c>
      <c r="AB33" s="168" t="s">
        <v>13</v>
      </c>
      <c r="AC33" s="77">
        <f t="shared" si="49"/>
        <v>-9897</v>
      </c>
      <c r="AD33" s="77">
        <f t="shared" si="50"/>
        <v>-10801</v>
      </c>
      <c r="AE33" s="77">
        <f t="shared" si="51"/>
        <v>-9620.4400000000023</v>
      </c>
      <c r="AF33" s="77"/>
      <c r="AG33" s="166">
        <f t="shared" si="42"/>
        <v>-10106.146666666667</v>
      </c>
      <c r="AH33" s="167">
        <f t="shared" si="43"/>
        <v>-9620.4400000000023</v>
      </c>
      <c r="AI33" s="167">
        <f t="shared" si="44"/>
        <v>-10801</v>
      </c>
    </row>
    <row r="34" spans="1:35" ht="16.5" thickTop="1" thickBot="1" x14ac:dyDescent="0.3">
      <c r="A34" s="128" t="s">
        <v>0</v>
      </c>
      <c r="B34" s="137">
        <f t="shared" ref="B34:D34" si="53">SUM(B22:B33)</f>
        <v>0</v>
      </c>
      <c r="C34" s="137">
        <f t="shared" si="53"/>
        <v>0</v>
      </c>
      <c r="D34" s="137">
        <f t="shared" si="53"/>
        <v>6509</v>
      </c>
      <c r="E34" s="137">
        <f>SUM(E22:E33)</f>
        <v>9641</v>
      </c>
      <c r="F34" s="127">
        <f t="shared" si="45"/>
        <v>4037.5</v>
      </c>
      <c r="I34" s="122"/>
      <c r="J34" s="128" t="s">
        <v>0</v>
      </c>
      <c r="K34" s="129">
        <f t="shared" ref="K34:M34" si="54">SUM(K22:K33)</f>
        <v>183</v>
      </c>
      <c r="L34" s="129">
        <f t="shared" si="54"/>
        <v>0</v>
      </c>
      <c r="M34" s="129">
        <f t="shared" si="54"/>
        <v>28616</v>
      </c>
      <c r="N34" s="129">
        <f>SUM(N22:N33)</f>
        <v>28631</v>
      </c>
      <c r="S34" s="128" t="s">
        <v>0</v>
      </c>
      <c r="T34" s="129">
        <f t="shared" ref="T34:V34" si="55">SUM(T22:T33)</f>
        <v>203831</v>
      </c>
      <c r="U34" s="129">
        <f t="shared" si="55"/>
        <v>220868</v>
      </c>
      <c r="V34" s="129">
        <f t="shared" si="55"/>
        <v>307397</v>
      </c>
      <c r="W34" s="129">
        <f>SUM(W22:W33)</f>
        <v>317074</v>
      </c>
      <c r="AB34" s="169" t="s">
        <v>0</v>
      </c>
      <c r="AC34" s="170">
        <f>SUM(AC22:AC33)</f>
        <v>-201728.44</v>
      </c>
      <c r="AD34" s="170">
        <f>SUM(AD22:AD33)</f>
        <v>-220868</v>
      </c>
      <c r="AE34" s="170">
        <f>SUM(AE22:AE33)</f>
        <v>-218511.92000000004</v>
      </c>
      <c r="AF34" s="170">
        <f>SUM(AF22:AF33)</f>
        <v>-232106.44</v>
      </c>
      <c r="AG34" s="148"/>
      <c r="AH34" s="148"/>
      <c r="AI34" s="148"/>
    </row>
    <row r="35" spans="1:35" ht="15.75" thickTop="1" x14ac:dyDescent="0.25">
      <c r="A35" s="1" t="s">
        <v>14</v>
      </c>
      <c r="B35" s="1"/>
      <c r="C35" s="1"/>
      <c r="D35" s="1"/>
      <c r="E35" s="1"/>
      <c r="F35" s="1"/>
      <c r="I35" s="122"/>
      <c r="J35" s="136" t="s">
        <v>14</v>
      </c>
      <c r="K35" s="136"/>
      <c r="L35" s="136"/>
      <c r="M35" s="136"/>
      <c r="N35" s="136"/>
      <c r="O35" s="136"/>
      <c r="P35" s="136"/>
      <c r="Q35" s="136"/>
      <c r="S35" s="136" t="s">
        <v>14</v>
      </c>
      <c r="T35" s="136"/>
      <c r="U35" s="136"/>
      <c r="V35" s="136"/>
      <c r="W35" s="136"/>
      <c r="X35" s="136"/>
      <c r="Y35" s="136"/>
      <c r="Z35" s="136"/>
    </row>
    <row r="36" spans="1:35" x14ac:dyDescent="0.25">
      <c r="A36" s="130" t="s">
        <v>15</v>
      </c>
      <c r="B36" s="127">
        <f t="shared" ref="B36:H36" si="56">AVERAGE(B22:B24,B31:B33)</f>
        <v>0</v>
      </c>
      <c r="C36" s="127">
        <f t="shared" si="56"/>
        <v>0</v>
      </c>
      <c r="D36" s="127">
        <f t="shared" si="56"/>
        <v>383.16666666666669</v>
      </c>
      <c r="E36" s="127">
        <f t="shared" si="56"/>
        <v>670.4</v>
      </c>
      <c r="F36" s="127">
        <f t="shared" si="56"/>
        <v>242.55555555555554</v>
      </c>
      <c r="G36" s="127">
        <f t="shared" si="56"/>
        <v>385.5771202171606</v>
      </c>
      <c r="H36" s="127">
        <f t="shared" si="56"/>
        <v>385.5771202171606</v>
      </c>
      <c r="I36" s="127"/>
      <c r="J36" s="130" t="s">
        <v>15</v>
      </c>
      <c r="K36" s="127">
        <f t="shared" ref="K36:Q36" si="57">AVERAGE(K22:K24,K31:K33)</f>
        <v>30.5</v>
      </c>
      <c r="L36" s="127">
        <f t="shared" si="57"/>
        <v>0</v>
      </c>
      <c r="M36" s="127">
        <f t="shared" si="57"/>
        <v>3214.6666666666665</v>
      </c>
      <c r="N36" s="127">
        <f t="shared" si="57"/>
        <v>1930.4</v>
      </c>
      <c r="O36" s="127">
        <f t="shared" si="57"/>
        <v>1281.5138888888889</v>
      </c>
      <c r="P36" s="127">
        <f t="shared" si="57"/>
        <v>2136.48015355395</v>
      </c>
      <c r="Q36" s="127">
        <f t="shared" si="57"/>
        <v>2136.48015355395</v>
      </c>
      <c r="S36" s="130" t="s">
        <v>15</v>
      </c>
      <c r="T36" s="127">
        <f t="shared" ref="T36:Z36" si="58">AVERAGE(T22:T24,T31:T33)</f>
        <v>11445.5</v>
      </c>
      <c r="U36" s="127">
        <f t="shared" si="58"/>
        <v>12033.833333333334</v>
      </c>
      <c r="V36" s="127">
        <f t="shared" si="58"/>
        <v>17245.5</v>
      </c>
      <c r="W36" s="127">
        <f t="shared" si="58"/>
        <v>14689.166666666666</v>
      </c>
      <c r="X36" s="127">
        <f t="shared" si="58"/>
        <v>13853.5</v>
      </c>
      <c r="Y36" s="127">
        <f t="shared" si="58"/>
        <v>5206.9788986520807</v>
      </c>
      <c r="Z36" s="127">
        <f t="shared" si="58"/>
        <v>5206.9788986520807</v>
      </c>
    </row>
    <row r="37" spans="1:35" x14ac:dyDescent="0.25">
      <c r="A37" s="130" t="s">
        <v>16</v>
      </c>
      <c r="B37" s="127">
        <f t="shared" ref="B37:H37" si="59">AVERAGE(B25:B30)</f>
        <v>0</v>
      </c>
      <c r="C37" s="127">
        <f t="shared" si="59"/>
        <v>0</v>
      </c>
      <c r="D37" s="127">
        <f t="shared" si="59"/>
        <v>701.66666666666663</v>
      </c>
      <c r="E37" s="127">
        <f t="shared" si="59"/>
        <v>1048.1666666666667</v>
      </c>
      <c r="F37" s="127">
        <f t="shared" si="59"/>
        <v>437.45833333333331</v>
      </c>
      <c r="G37" s="127">
        <f t="shared" si="59"/>
        <v>612.30264109842676</v>
      </c>
      <c r="H37" s="127">
        <f t="shared" si="59"/>
        <v>612.30264109842676</v>
      </c>
      <c r="I37" s="127"/>
      <c r="J37" s="130" t="s">
        <v>16</v>
      </c>
      <c r="K37" s="127">
        <f t="shared" ref="K37:Q37" si="60">AVERAGE(K25:K30)</f>
        <v>0</v>
      </c>
      <c r="L37" s="127">
        <f t="shared" si="60"/>
        <v>0</v>
      </c>
      <c r="M37" s="127">
        <f t="shared" si="60"/>
        <v>1554.6666666666667</v>
      </c>
      <c r="N37" s="127">
        <f t="shared" si="60"/>
        <v>3163.1666666666665</v>
      </c>
      <c r="O37" s="127">
        <f t="shared" si="60"/>
        <v>1179.4583333333333</v>
      </c>
      <c r="P37" s="127">
        <f t="shared" si="60"/>
        <v>1629.6584875316646</v>
      </c>
      <c r="Q37" s="127">
        <f t="shared" si="60"/>
        <v>1629.6584875316646</v>
      </c>
      <c r="S37" s="130" t="s">
        <v>16</v>
      </c>
      <c r="T37" s="127">
        <f t="shared" ref="T37:Z37" si="61">AVERAGE(T25:T30)</f>
        <v>22526.333333333332</v>
      </c>
      <c r="U37" s="127">
        <f t="shared" si="61"/>
        <v>24777.5</v>
      </c>
      <c r="V37" s="127">
        <f t="shared" si="61"/>
        <v>33987.333333333336</v>
      </c>
      <c r="W37" s="127">
        <f t="shared" si="61"/>
        <v>38156.5</v>
      </c>
      <c r="X37" s="127">
        <f t="shared" si="61"/>
        <v>29861.916666666668</v>
      </c>
      <c r="Y37" s="127">
        <f t="shared" si="61"/>
        <v>7776.1582876288967</v>
      </c>
      <c r="Z37" s="127">
        <f t="shared" si="61"/>
        <v>7776.1582876288967</v>
      </c>
    </row>
    <row r="38" spans="1:35" ht="15.75" thickBot="1" x14ac:dyDescent="0.3"/>
    <row r="39" spans="1:35" ht="17.25" thickTop="1" thickBot="1" x14ac:dyDescent="0.3">
      <c r="A39" s="140" t="s">
        <v>96</v>
      </c>
      <c r="B39" s="141"/>
      <c r="C39" s="141"/>
      <c r="D39" s="141"/>
      <c r="E39" s="141"/>
      <c r="F39" s="142"/>
      <c r="AB39" s="140" t="s">
        <v>214</v>
      </c>
      <c r="AC39" s="141"/>
      <c r="AD39" s="141"/>
      <c r="AE39" s="141"/>
      <c r="AF39" s="141"/>
    </row>
    <row r="40" spans="1:35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AB40" s="124"/>
      <c r="AC40" s="125">
        <v>2014</v>
      </c>
      <c r="AD40" s="125">
        <v>2015</v>
      </c>
      <c r="AE40" s="125">
        <v>2016</v>
      </c>
      <c r="AF40" s="125">
        <v>2017</v>
      </c>
    </row>
    <row r="41" spans="1:35" x14ac:dyDescent="0.25">
      <c r="A41" s="119" t="s">
        <v>2</v>
      </c>
      <c r="B41" s="84">
        <v>5989</v>
      </c>
      <c r="C41" s="84">
        <v>7836</v>
      </c>
      <c r="D41" s="84">
        <v>5926</v>
      </c>
      <c r="E41" s="84">
        <v>7543</v>
      </c>
      <c r="AB41" s="119" t="s">
        <v>2</v>
      </c>
      <c r="AC41" s="77">
        <f>-1*AC22</f>
        <v>7702</v>
      </c>
      <c r="AD41" s="77">
        <f t="shared" ref="AD41:AF41" si="62">-1*AD22</f>
        <v>10779</v>
      </c>
      <c r="AE41" s="77">
        <f t="shared" si="62"/>
        <v>7820.6</v>
      </c>
      <c r="AF41" s="77">
        <f t="shared" si="62"/>
        <v>11780.6</v>
      </c>
    </row>
    <row r="42" spans="1:35" x14ac:dyDescent="0.25">
      <c r="A42" s="119" t="s">
        <v>3</v>
      </c>
      <c r="B42" s="84">
        <v>7535</v>
      </c>
      <c r="C42" s="84">
        <v>8633</v>
      </c>
      <c r="D42" s="84">
        <v>9145</v>
      </c>
      <c r="E42" s="84">
        <v>9955</v>
      </c>
      <c r="AB42" s="119" t="s">
        <v>3</v>
      </c>
      <c r="AC42" s="77">
        <f t="shared" ref="AC42:AF52" si="63">-1*AC23</f>
        <v>8999.44</v>
      </c>
      <c r="AD42" s="77">
        <f t="shared" si="63"/>
        <v>11720</v>
      </c>
      <c r="AE42" s="77">
        <f t="shared" si="63"/>
        <v>12595</v>
      </c>
      <c r="AF42" s="77">
        <f t="shared" si="63"/>
        <v>15413</v>
      </c>
    </row>
    <row r="43" spans="1:35" x14ac:dyDescent="0.25">
      <c r="A43" s="119" t="s">
        <v>4</v>
      </c>
      <c r="B43" s="84">
        <v>8167</v>
      </c>
      <c r="C43" s="84">
        <v>9301</v>
      </c>
      <c r="D43" s="84">
        <v>9357</v>
      </c>
      <c r="E43" s="84">
        <v>14898</v>
      </c>
      <c r="AB43" s="119" t="s">
        <v>4</v>
      </c>
      <c r="AC43" s="77">
        <f t="shared" si="63"/>
        <v>12811</v>
      </c>
      <c r="AD43" s="77">
        <f t="shared" si="63"/>
        <v>13135</v>
      </c>
      <c r="AE43" s="77">
        <f t="shared" si="63"/>
        <v>13053</v>
      </c>
      <c r="AF43" s="77">
        <f t="shared" si="63"/>
        <v>21525</v>
      </c>
    </row>
    <row r="44" spans="1:35" x14ac:dyDescent="0.25">
      <c r="A44" s="119" t="s">
        <v>5</v>
      </c>
      <c r="B44" s="84">
        <v>11163</v>
      </c>
      <c r="C44" s="84">
        <v>11519</v>
      </c>
      <c r="D44" s="84">
        <v>12561</v>
      </c>
      <c r="E44" s="84">
        <v>12836</v>
      </c>
      <c r="AB44" s="119" t="s">
        <v>5</v>
      </c>
      <c r="AC44" s="77">
        <f t="shared" si="63"/>
        <v>17556</v>
      </c>
      <c r="AD44" s="77">
        <f t="shared" si="63"/>
        <v>17918</v>
      </c>
      <c r="AE44" s="77">
        <f t="shared" si="63"/>
        <v>18336</v>
      </c>
      <c r="AF44" s="77">
        <f t="shared" si="63"/>
        <v>15024.320000000002</v>
      </c>
    </row>
    <row r="45" spans="1:35" x14ac:dyDescent="0.25">
      <c r="A45" s="119" t="s">
        <v>6</v>
      </c>
      <c r="B45" s="84">
        <v>12618</v>
      </c>
      <c r="C45" s="84">
        <v>12486</v>
      </c>
      <c r="D45" s="84">
        <v>12816</v>
      </c>
      <c r="E45" s="84">
        <v>15855</v>
      </c>
      <c r="AB45" s="119" t="s">
        <v>6</v>
      </c>
      <c r="AC45" s="77">
        <f t="shared" si="63"/>
        <v>22701</v>
      </c>
      <c r="AD45" s="77">
        <f t="shared" si="63"/>
        <v>21030</v>
      </c>
      <c r="AE45" s="77">
        <f t="shared" si="63"/>
        <v>20994</v>
      </c>
      <c r="AF45" s="77">
        <f t="shared" si="63"/>
        <v>21780.28</v>
      </c>
    </row>
    <row r="46" spans="1:35" x14ac:dyDescent="0.25">
      <c r="A46" s="119" t="s">
        <v>7</v>
      </c>
      <c r="B46" s="84">
        <v>10904</v>
      </c>
      <c r="C46" s="84">
        <v>14863</v>
      </c>
      <c r="D46" s="84">
        <v>17121</v>
      </c>
      <c r="E46" s="84">
        <v>18325</v>
      </c>
      <c r="AB46" s="119" t="s">
        <v>7</v>
      </c>
      <c r="AC46" s="77">
        <f t="shared" si="63"/>
        <v>20993</v>
      </c>
      <c r="AD46" s="77">
        <f t="shared" si="63"/>
        <v>24739</v>
      </c>
      <c r="AE46" s="77">
        <f t="shared" si="63"/>
        <v>24241.040000000001</v>
      </c>
      <c r="AF46" s="77">
        <f t="shared" si="63"/>
        <v>28207.239999999998</v>
      </c>
    </row>
    <row r="47" spans="1:35" x14ac:dyDescent="0.25">
      <c r="A47" s="119" t="s">
        <v>8</v>
      </c>
      <c r="B47" s="84">
        <v>10812</v>
      </c>
      <c r="C47" s="84">
        <v>16049</v>
      </c>
      <c r="D47" s="84">
        <v>17111</v>
      </c>
      <c r="E47" s="84">
        <v>17762</v>
      </c>
      <c r="AB47" s="119" t="s">
        <v>8</v>
      </c>
      <c r="AC47" s="77">
        <f t="shared" si="63"/>
        <v>21699</v>
      </c>
      <c r="AD47" s="77">
        <f t="shared" si="63"/>
        <v>30407</v>
      </c>
      <c r="AE47" s="77">
        <f t="shared" si="63"/>
        <v>34918.879999999997</v>
      </c>
      <c r="AF47" s="77">
        <f t="shared" si="63"/>
        <v>31031.440000000002</v>
      </c>
    </row>
    <row r="48" spans="1:35" x14ac:dyDescent="0.25">
      <c r="A48" s="119" t="s">
        <v>9</v>
      </c>
      <c r="B48" s="84">
        <v>11045</v>
      </c>
      <c r="C48" s="84">
        <v>13245</v>
      </c>
      <c r="D48" s="84">
        <v>13392</v>
      </c>
      <c r="E48" s="84">
        <v>16086</v>
      </c>
      <c r="AB48" s="119" t="s">
        <v>9</v>
      </c>
      <c r="AC48" s="77">
        <f t="shared" si="63"/>
        <v>30473</v>
      </c>
      <c r="AD48" s="77">
        <f t="shared" si="63"/>
        <v>31881</v>
      </c>
      <c r="AE48" s="77">
        <f t="shared" si="63"/>
        <v>31904.880000000001</v>
      </c>
      <c r="AF48" s="77">
        <f t="shared" si="63"/>
        <v>36597</v>
      </c>
    </row>
    <row r="49" spans="1:33" x14ac:dyDescent="0.25">
      <c r="A49" s="119" t="s">
        <v>10</v>
      </c>
      <c r="B49" s="84">
        <v>9775</v>
      </c>
      <c r="C49" s="84">
        <v>11332</v>
      </c>
      <c r="D49" s="84">
        <v>12107</v>
      </c>
      <c r="E49" s="84">
        <v>13977</v>
      </c>
      <c r="AB49" s="119" t="s">
        <v>10</v>
      </c>
      <c r="AC49" s="77">
        <f t="shared" si="63"/>
        <v>21736</v>
      </c>
      <c r="AD49" s="77">
        <f t="shared" si="63"/>
        <v>22690</v>
      </c>
      <c r="AE49" s="77">
        <f t="shared" si="63"/>
        <v>23675.88</v>
      </c>
      <c r="AF49" s="77">
        <f t="shared" si="63"/>
        <v>23569.88</v>
      </c>
    </row>
    <row r="50" spans="1:33" x14ac:dyDescent="0.25">
      <c r="A50" s="119" t="s">
        <v>11</v>
      </c>
      <c r="B50" s="84">
        <v>9874</v>
      </c>
      <c r="C50" s="84">
        <v>8671</v>
      </c>
      <c r="D50" s="84">
        <v>11599</v>
      </c>
      <c r="E50" s="84">
        <v>12356</v>
      </c>
      <c r="AB50" s="119" t="s">
        <v>11</v>
      </c>
      <c r="AC50" s="77">
        <f t="shared" si="63"/>
        <v>17599</v>
      </c>
      <c r="AD50" s="77">
        <f t="shared" si="63"/>
        <v>16741</v>
      </c>
      <c r="AE50" s="77">
        <f t="shared" si="63"/>
        <v>4608.2000000000044</v>
      </c>
      <c r="AF50" s="77">
        <f t="shared" si="63"/>
        <v>19062.68</v>
      </c>
    </row>
    <row r="51" spans="1:33" x14ac:dyDescent="0.25">
      <c r="A51" s="119" t="s">
        <v>12</v>
      </c>
      <c r="B51" s="84">
        <v>5959</v>
      </c>
      <c r="C51" s="84">
        <v>5679</v>
      </c>
      <c r="D51" s="84">
        <v>10432</v>
      </c>
      <c r="E51" s="113">
        <v>7847</v>
      </c>
      <c r="AB51" s="119" t="s">
        <v>12</v>
      </c>
      <c r="AC51" s="77">
        <f t="shared" si="63"/>
        <v>9562</v>
      </c>
      <c r="AD51" s="77">
        <f t="shared" si="63"/>
        <v>9027</v>
      </c>
      <c r="AE51" s="77">
        <f t="shared" si="63"/>
        <v>16744</v>
      </c>
      <c r="AF51" s="77"/>
    </row>
    <row r="52" spans="1:33" ht="15.75" thickBot="1" x14ac:dyDescent="0.3">
      <c r="A52" s="119" t="s">
        <v>13</v>
      </c>
      <c r="B52" s="84">
        <v>6072</v>
      </c>
      <c r="C52" s="84">
        <v>6841</v>
      </c>
      <c r="D52" s="84">
        <v>7675</v>
      </c>
      <c r="E52" s="84"/>
      <c r="AB52" s="139" t="s">
        <v>13</v>
      </c>
      <c r="AC52" s="43">
        <f t="shared" si="63"/>
        <v>9897</v>
      </c>
      <c r="AD52" s="43">
        <f t="shared" si="63"/>
        <v>10801</v>
      </c>
      <c r="AE52" s="43">
        <f t="shared" si="63"/>
        <v>9620.4400000000023</v>
      </c>
      <c r="AF52" s="43"/>
    </row>
    <row r="53" spans="1:33" ht="16.5" thickTop="1" thickBot="1" x14ac:dyDescent="0.3">
      <c r="A53" s="128" t="s">
        <v>0</v>
      </c>
      <c r="B53" s="137">
        <f t="shared" ref="B53:D53" si="64">SUM(B41:B52)</f>
        <v>109913</v>
      </c>
      <c r="C53" s="137">
        <f t="shared" si="64"/>
        <v>126455</v>
      </c>
      <c r="D53" s="137">
        <f t="shared" si="64"/>
        <v>139242</v>
      </c>
      <c r="E53" s="137">
        <f>SUM(E41:E52)</f>
        <v>147440</v>
      </c>
      <c r="AB53" s="138" t="s">
        <v>0</v>
      </c>
      <c r="AC53" s="170">
        <f>SUM(AC41:AC52)</f>
        <v>201728.44</v>
      </c>
      <c r="AD53" s="170">
        <f>SUM(AD41:AD52)</f>
        <v>220868</v>
      </c>
      <c r="AE53" s="170">
        <f>SUM(AE41:AE52)</f>
        <v>218511.92000000004</v>
      </c>
      <c r="AF53" s="170">
        <f>SUM(AF41:AF52)</f>
        <v>223991.44</v>
      </c>
    </row>
    <row r="54" spans="1:33" ht="15.75" thickTop="1" x14ac:dyDescent="0.25">
      <c r="A54" s="1" t="s">
        <v>14</v>
      </c>
      <c r="B54" s="1"/>
      <c r="C54" s="1"/>
      <c r="D54" s="1"/>
      <c r="E54" s="1"/>
      <c r="F54" s="1"/>
    </row>
    <row r="55" spans="1:33" ht="15.75" thickBot="1" x14ac:dyDescent="0.3"/>
    <row r="56" spans="1:33" ht="17.25" thickTop="1" thickBot="1" x14ac:dyDescent="0.3">
      <c r="A56" s="140" t="s">
        <v>79</v>
      </c>
      <c r="B56" s="141"/>
      <c r="C56" s="141"/>
      <c r="D56" s="141"/>
      <c r="E56" s="141"/>
      <c r="J56" s="140" t="s">
        <v>210</v>
      </c>
      <c r="K56" s="141"/>
      <c r="L56" s="141"/>
      <c r="M56" s="141"/>
      <c r="N56" s="141"/>
      <c r="O56" s="142"/>
      <c r="S56" s="149" t="s">
        <v>172</v>
      </c>
      <c r="T56" s="164"/>
      <c r="U56" s="164"/>
      <c r="V56" s="164"/>
      <c r="W56" s="164"/>
      <c r="X56" s="150"/>
      <c r="Y56" s="148"/>
      <c r="Z56" s="148"/>
      <c r="AC56" s="140" t="s">
        <v>213</v>
      </c>
      <c r="AD56" s="141"/>
      <c r="AE56" s="141"/>
      <c r="AF56" s="141"/>
      <c r="AG56" s="141"/>
    </row>
    <row r="57" spans="1:33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  <c r="J57" s="124"/>
      <c r="K57" s="125">
        <v>2014</v>
      </c>
      <c r="L57" s="125">
        <v>2015</v>
      </c>
      <c r="M57" s="125">
        <v>2016</v>
      </c>
      <c r="N57" s="125">
        <v>2017</v>
      </c>
      <c r="O57" s="126" t="s">
        <v>1</v>
      </c>
      <c r="P57" s="117" t="s">
        <v>18</v>
      </c>
      <c r="Q57" s="117" t="s">
        <v>17</v>
      </c>
      <c r="S57" s="151"/>
      <c r="T57" s="147">
        <v>2014</v>
      </c>
      <c r="U57" s="147">
        <v>2015</v>
      </c>
      <c r="V57" s="147">
        <v>2016</v>
      </c>
      <c r="W57" s="147">
        <v>2017</v>
      </c>
      <c r="X57" s="152" t="s">
        <v>1</v>
      </c>
      <c r="Y57" s="165" t="s">
        <v>18</v>
      </c>
      <c r="Z57" s="165" t="s">
        <v>17</v>
      </c>
      <c r="AC57" s="124"/>
      <c r="AD57" s="125">
        <v>2014</v>
      </c>
      <c r="AE57" s="125">
        <v>2015</v>
      </c>
      <c r="AF57" s="125">
        <v>2016</v>
      </c>
      <c r="AG57" s="125">
        <v>2017</v>
      </c>
    </row>
    <row r="58" spans="1:33" x14ac:dyDescent="0.25">
      <c r="A58" s="119" t="s">
        <v>2</v>
      </c>
      <c r="B58" s="84">
        <f t="shared" ref="B58:E69" si="65">B22+B41</f>
        <v>5989</v>
      </c>
      <c r="C58" s="84">
        <f t="shared" si="65"/>
        <v>7836</v>
      </c>
      <c r="D58" s="84">
        <f t="shared" si="65"/>
        <v>5926</v>
      </c>
      <c r="E58" s="84">
        <f t="shared" si="65"/>
        <v>8029</v>
      </c>
      <c r="J58" s="119" t="s">
        <v>2</v>
      </c>
      <c r="K58" s="134">
        <f t="shared" ref="K58:K69" si="66">B74+B91+B127</f>
        <v>1713</v>
      </c>
      <c r="L58" s="134">
        <f t="shared" ref="L58:L69" si="67">C74+C91+C127</f>
        <v>2943</v>
      </c>
      <c r="M58" s="134">
        <f t="shared" ref="M58:M69" si="68">D74+D91+D127</f>
        <v>2235</v>
      </c>
      <c r="N58" s="134">
        <f t="shared" ref="N58:N69" si="69">E74+E91+E127</f>
        <v>6099</v>
      </c>
      <c r="O58" s="127">
        <f t="shared" ref="O58:O69" si="70">AVERAGE(K58:N58)</f>
        <v>3247.5</v>
      </c>
      <c r="P58" s="127">
        <f t="shared" ref="P58:P69" si="71">STDEVA(K58:N58)</f>
        <v>1966.6908755572138</v>
      </c>
      <c r="Q58" s="127">
        <f t="shared" ref="Q58:Q69" si="72">STDEVA(K58:N58)</f>
        <v>1966.6908755572138</v>
      </c>
      <c r="S58" s="153" t="s">
        <v>2</v>
      </c>
      <c r="T58" s="77">
        <f>(B108+B144)-K58</f>
        <v>-1713</v>
      </c>
      <c r="U58" s="77">
        <f t="shared" ref="U58:W58" si="73">(C108+C144)-L58</f>
        <v>-2943</v>
      </c>
      <c r="V58" s="77">
        <f t="shared" si="73"/>
        <v>-2235</v>
      </c>
      <c r="W58" s="77">
        <f t="shared" si="73"/>
        <v>-6099</v>
      </c>
      <c r="X58" s="166">
        <f t="shared" ref="X58:X69" si="74">AVERAGE(T58:W58)</f>
        <v>-3247.5</v>
      </c>
      <c r="Y58" s="167">
        <f t="shared" ref="Y58:Y69" si="75">MAX(T58:W58)</f>
        <v>-1713</v>
      </c>
      <c r="Z58" s="167">
        <f t="shared" ref="Z58:Z69" si="76">MIN(T58:W58)</f>
        <v>-6099</v>
      </c>
      <c r="AC58" s="119" t="s">
        <v>2</v>
      </c>
      <c r="AD58" s="77">
        <f>-1*T58</f>
        <v>1713</v>
      </c>
      <c r="AE58" s="77">
        <f t="shared" ref="AE58:AG69" si="77">-1*U58</f>
        <v>2943</v>
      </c>
      <c r="AF58" s="77">
        <f t="shared" si="77"/>
        <v>2235</v>
      </c>
      <c r="AG58" s="77">
        <f t="shared" si="77"/>
        <v>6099</v>
      </c>
    </row>
    <row r="59" spans="1:33" x14ac:dyDescent="0.25">
      <c r="A59" s="119" t="s">
        <v>3</v>
      </c>
      <c r="B59" s="84">
        <f t="shared" si="65"/>
        <v>7535</v>
      </c>
      <c r="C59" s="84">
        <f t="shared" si="65"/>
        <v>8633</v>
      </c>
      <c r="D59" s="84">
        <f t="shared" si="65"/>
        <v>9145</v>
      </c>
      <c r="E59" s="84">
        <f t="shared" si="65"/>
        <v>10481</v>
      </c>
      <c r="J59" s="119" t="s">
        <v>3</v>
      </c>
      <c r="K59" s="134">
        <f t="shared" si="66"/>
        <v>3567</v>
      </c>
      <c r="L59" s="134">
        <f t="shared" si="67"/>
        <v>3087</v>
      </c>
      <c r="M59" s="134">
        <f t="shared" si="68"/>
        <v>3450</v>
      </c>
      <c r="N59" s="134">
        <f t="shared" si="69"/>
        <v>7422</v>
      </c>
      <c r="O59" s="127">
        <f t="shared" si="70"/>
        <v>4381.5</v>
      </c>
      <c r="P59" s="127">
        <f t="shared" si="71"/>
        <v>2037.2753863923258</v>
      </c>
      <c r="Q59" s="127">
        <f t="shared" si="72"/>
        <v>2037.2753863923258</v>
      </c>
      <c r="S59" s="153" t="s">
        <v>3</v>
      </c>
      <c r="T59" s="77">
        <f t="shared" ref="T59:T69" si="78">(B109+B145)-K59</f>
        <v>-2768.44</v>
      </c>
      <c r="U59" s="77">
        <f t="shared" ref="U59:U69" si="79">(C109+C145)-L59</f>
        <v>-3087</v>
      </c>
      <c r="V59" s="77">
        <f t="shared" ref="V59:V69" si="80">(D109+D145)-M59</f>
        <v>-3450</v>
      </c>
      <c r="W59" s="77">
        <f t="shared" ref="W59:W69" si="81">(E109+E145)-N59</f>
        <v>-7422</v>
      </c>
      <c r="X59" s="166">
        <f t="shared" si="74"/>
        <v>-4181.8600000000006</v>
      </c>
      <c r="Y59" s="167">
        <f t="shared" si="75"/>
        <v>-2768.44</v>
      </c>
      <c r="Z59" s="167">
        <f t="shared" si="76"/>
        <v>-7422</v>
      </c>
      <c r="AC59" s="119" t="s">
        <v>3</v>
      </c>
      <c r="AD59" s="77">
        <f t="shared" ref="AD59:AD69" si="82">-1*T59</f>
        <v>2768.44</v>
      </c>
      <c r="AE59" s="77">
        <f t="shared" si="77"/>
        <v>3087</v>
      </c>
      <c r="AF59" s="77">
        <f t="shared" si="77"/>
        <v>3450</v>
      </c>
      <c r="AG59" s="77">
        <f t="shared" si="77"/>
        <v>7422</v>
      </c>
    </row>
    <row r="60" spans="1:33" x14ac:dyDescent="0.25">
      <c r="A60" s="119" t="s">
        <v>4</v>
      </c>
      <c r="B60" s="84">
        <f t="shared" si="65"/>
        <v>8167</v>
      </c>
      <c r="C60" s="84">
        <f t="shared" si="65"/>
        <v>9301</v>
      </c>
      <c r="D60" s="84">
        <f t="shared" si="65"/>
        <v>9357</v>
      </c>
      <c r="E60" s="84">
        <f t="shared" si="65"/>
        <v>16158</v>
      </c>
      <c r="J60" s="119" t="s">
        <v>4</v>
      </c>
      <c r="K60" s="134">
        <f t="shared" si="66"/>
        <v>4644</v>
      </c>
      <c r="L60" s="134">
        <f t="shared" si="67"/>
        <v>3834</v>
      </c>
      <c r="M60" s="134">
        <f t="shared" si="68"/>
        <v>3696</v>
      </c>
      <c r="N60" s="134">
        <f t="shared" si="69"/>
        <v>7638</v>
      </c>
      <c r="O60" s="127">
        <f t="shared" si="70"/>
        <v>4953</v>
      </c>
      <c r="P60" s="127">
        <f t="shared" si="71"/>
        <v>1838.1980306811342</v>
      </c>
      <c r="Q60" s="127">
        <f t="shared" si="72"/>
        <v>1838.1980306811342</v>
      </c>
      <c r="S60" s="153" t="s">
        <v>4</v>
      </c>
      <c r="T60" s="77">
        <f t="shared" si="78"/>
        <v>-4644</v>
      </c>
      <c r="U60" s="77">
        <f t="shared" si="79"/>
        <v>-3834</v>
      </c>
      <c r="V60" s="77">
        <f t="shared" si="80"/>
        <v>-3696</v>
      </c>
      <c r="W60" s="77">
        <f t="shared" si="81"/>
        <v>-7638</v>
      </c>
      <c r="X60" s="166">
        <f t="shared" si="74"/>
        <v>-4953</v>
      </c>
      <c r="Y60" s="167">
        <f t="shared" si="75"/>
        <v>-3696</v>
      </c>
      <c r="Z60" s="167">
        <f t="shared" si="76"/>
        <v>-7638</v>
      </c>
      <c r="AC60" s="119" t="s">
        <v>4</v>
      </c>
      <c r="AD60" s="77">
        <f t="shared" si="82"/>
        <v>4644</v>
      </c>
      <c r="AE60" s="77">
        <f t="shared" si="77"/>
        <v>3834</v>
      </c>
      <c r="AF60" s="77">
        <f t="shared" si="77"/>
        <v>3696</v>
      </c>
      <c r="AG60" s="77">
        <f t="shared" si="77"/>
        <v>7638</v>
      </c>
    </row>
    <row r="61" spans="1:33" x14ac:dyDescent="0.25">
      <c r="A61" s="119" t="s">
        <v>5</v>
      </c>
      <c r="B61" s="84">
        <f t="shared" si="65"/>
        <v>11163</v>
      </c>
      <c r="C61" s="84">
        <f t="shared" si="65"/>
        <v>11519</v>
      </c>
      <c r="D61" s="84">
        <f t="shared" si="65"/>
        <v>12561</v>
      </c>
      <c r="E61" s="84">
        <f t="shared" si="65"/>
        <v>13682</v>
      </c>
      <c r="J61" s="119" t="s">
        <v>5</v>
      </c>
      <c r="K61" s="134">
        <f t="shared" si="66"/>
        <v>6393</v>
      </c>
      <c r="L61" s="134">
        <f t="shared" si="67"/>
        <v>6399</v>
      </c>
      <c r="M61" s="134">
        <f t="shared" si="68"/>
        <v>5775</v>
      </c>
      <c r="N61" s="134">
        <f t="shared" si="69"/>
        <v>11754</v>
      </c>
      <c r="O61" s="127">
        <f t="shared" si="70"/>
        <v>7580.25</v>
      </c>
      <c r="P61" s="127">
        <f t="shared" si="71"/>
        <v>2797.8581540171044</v>
      </c>
      <c r="Q61" s="127">
        <f t="shared" si="72"/>
        <v>2797.8581540171044</v>
      </c>
      <c r="S61" s="153" t="s">
        <v>5</v>
      </c>
      <c r="T61" s="77">
        <f t="shared" si="78"/>
        <v>-6393</v>
      </c>
      <c r="U61" s="77">
        <f t="shared" si="79"/>
        <v>-6399</v>
      </c>
      <c r="V61" s="77">
        <f t="shared" si="80"/>
        <v>-5775</v>
      </c>
      <c r="W61" s="77">
        <f t="shared" si="81"/>
        <v>-5935.920000000001</v>
      </c>
      <c r="X61" s="166">
        <f t="shared" si="74"/>
        <v>-6125.7300000000005</v>
      </c>
      <c r="Y61" s="167">
        <f t="shared" si="75"/>
        <v>-5775</v>
      </c>
      <c r="Z61" s="167">
        <f t="shared" si="76"/>
        <v>-6399</v>
      </c>
      <c r="AC61" s="119" t="s">
        <v>5</v>
      </c>
      <c r="AD61" s="77">
        <f t="shared" si="82"/>
        <v>6393</v>
      </c>
      <c r="AE61" s="77">
        <f t="shared" si="77"/>
        <v>6399</v>
      </c>
      <c r="AF61" s="77">
        <f t="shared" si="77"/>
        <v>5775</v>
      </c>
      <c r="AG61" s="77">
        <f t="shared" si="77"/>
        <v>5935.920000000001</v>
      </c>
    </row>
    <row r="62" spans="1:33" x14ac:dyDescent="0.25">
      <c r="A62" s="119" t="s">
        <v>6</v>
      </c>
      <c r="B62" s="84">
        <f t="shared" si="65"/>
        <v>12618</v>
      </c>
      <c r="C62" s="84">
        <f t="shared" si="65"/>
        <v>12486</v>
      </c>
      <c r="D62" s="84">
        <f t="shared" si="65"/>
        <v>12816</v>
      </c>
      <c r="E62" s="84">
        <f t="shared" si="65"/>
        <v>17088</v>
      </c>
      <c r="J62" s="119" t="s">
        <v>6</v>
      </c>
      <c r="K62" s="134">
        <f t="shared" si="66"/>
        <v>10083</v>
      </c>
      <c r="L62" s="134">
        <f t="shared" si="67"/>
        <v>8544</v>
      </c>
      <c r="M62" s="134">
        <f t="shared" si="68"/>
        <v>9438</v>
      </c>
      <c r="N62" s="134">
        <f t="shared" si="69"/>
        <v>11325</v>
      </c>
      <c r="O62" s="127">
        <f t="shared" si="70"/>
        <v>9847.5</v>
      </c>
      <c r="P62" s="127">
        <f t="shared" si="71"/>
        <v>1169.7961360852582</v>
      </c>
      <c r="Q62" s="127">
        <f t="shared" si="72"/>
        <v>1169.7961360852582</v>
      </c>
      <c r="S62" s="153" t="s">
        <v>6</v>
      </c>
      <c r="T62" s="77">
        <f t="shared" si="78"/>
        <v>-10083</v>
      </c>
      <c r="U62" s="77">
        <f t="shared" si="79"/>
        <v>-8544</v>
      </c>
      <c r="V62" s="77">
        <f t="shared" si="80"/>
        <v>-9438</v>
      </c>
      <c r="W62" s="77">
        <f t="shared" si="81"/>
        <v>-7446.2800000000007</v>
      </c>
      <c r="X62" s="166">
        <f t="shared" si="74"/>
        <v>-8877.82</v>
      </c>
      <c r="Y62" s="167">
        <f t="shared" si="75"/>
        <v>-7446.2800000000007</v>
      </c>
      <c r="Z62" s="167">
        <f t="shared" si="76"/>
        <v>-10083</v>
      </c>
      <c r="AC62" s="119" t="s">
        <v>6</v>
      </c>
      <c r="AD62" s="77">
        <f t="shared" si="82"/>
        <v>10083</v>
      </c>
      <c r="AE62" s="77">
        <f t="shared" si="77"/>
        <v>8544</v>
      </c>
      <c r="AF62" s="77">
        <f t="shared" si="77"/>
        <v>9438</v>
      </c>
      <c r="AG62" s="77">
        <f t="shared" si="77"/>
        <v>7446.2800000000007</v>
      </c>
    </row>
    <row r="63" spans="1:33" x14ac:dyDescent="0.25">
      <c r="A63" s="119" t="s">
        <v>7</v>
      </c>
      <c r="B63" s="84">
        <f t="shared" si="65"/>
        <v>10904</v>
      </c>
      <c r="C63" s="84">
        <f t="shared" si="65"/>
        <v>14863</v>
      </c>
      <c r="D63" s="84">
        <f t="shared" si="65"/>
        <v>18437</v>
      </c>
      <c r="E63" s="84">
        <f t="shared" si="65"/>
        <v>20529</v>
      </c>
      <c r="J63" s="119" t="s">
        <v>7</v>
      </c>
      <c r="K63" s="134">
        <f t="shared" si="66"/>
        <v>10089</v>
      </c>
      <c r="L63" s="134">
        <f t="shared" si="67"/>
        <v>9876</v>
      </c>
      <c r="M63" s="134">
        <f t="shared" si="68"/>
        <v>21726</v>
      </c>
      <c r="N63" s="134">
        <f t="shared" si="69"/>
        <v>22530</v>
      </c>
      <c r="O63" s="127">
        <f t="shared" si="70"/>
        <v>16055.25</v>
      </c>
      <c r="P63" s="127">
        <f t="shared" si="71"/>
        <v>7020.4240790710073</v>
      </c>
      <c r="Q63" s="127">
        <f t="shared" si="72"/>
        <v>7020.4240790710073</v>
      </c>
      <c r="S63" s="153" t="s">
        <v>7</v>
      </c>
      <c r="T63" s="77">
        <f t="shared" si="78"/>
        <v>-10089</v>
      </c>
      <c r="U63" s="77">
        <f t="shared" si="79"/>
        <v>-9876</v>
      </c>
      <c r="V63" s="77">
        <f t="shared" si="80"/>
        <v>-4933.9200000000019</v>
      </c>
      <c r="W63" s="77">
        <f t="shared" si="81"/>
        <v>-7677.2800000000007</v>
      </c>
      <c r="X63" s="166">
        <f t="shared" si="74"/>
        <v>-8144.0500000000011</v>
      </c>
      <c r="Y63" s="167">
        <f t="shared" si="75"/>
        <v>-4933.9200000000019</v>
      </c>
      <c r="Z63" s="167">
        <f t="shared" si="76"/>
        <v>-10089</v>
      </c>
      <c r="AC63" s="119" t="s">
        <v>7</v>
      </c>
      <c r="AD63" s="77">
        <f t="shared" si="82"/>
        <v>10089</v>
      </c>
      <c r="AE63" s="77">
        <f t="shared" si="77"/>
        <v>9876</v>
      </c>
      <c r="AF63" s="77">
        <f t="shared" si="77"/>
        <v>4933.9200000000019</v>
      </c>
      <c r="AG63" s="77">
        <f t="shared" si="77"/>
        <v>7677.2800000000007</v>
      </c>
    </row>
    <row r="64" spans="1:33" x14ac:dyDescent="0.25">
      <c r="A64" s="119" t="s">
        <v>8</v>
      </c>
      <c r="B64" s="84">
        <f t="shared" si="65"/>
        <v>10812</v>
      </c>
      <c r="C64" s="84">
        <f t="shared" si="65"/>
        <v>16049</v>
      </c>
      <c r="D64" s="84">
        <f t="shared" si="65"/>
        <v>18599</v>
      </c>
      <c r="E64" s="84">
        <f t="shared" si="65"/>
        <v>18482</v>
      </c>
      <c r="J64" s="119" t="s">
        <v>8</v>
      </c>
      <c r="K64" s="134">
        <f t="shared" si="66"/>
        <v>10887</v>
      </c>
      <c r="L64" s="134">
        <f t="shared" si="67"/>
        <v>14358</v>
      </c>
      <c r="M64" s="134">
        <f t="shared" si="68"/>
        <v>26769</v>
      </c>
      <c r="N64" s="134">
        <f t="shared" si="69"/>
        <v>31194</v>
      </c>
      <c r="O64" s="127">
        <f t="shared" si="70"/>
        <v>20802</v>
      </c>
      <c r="P64" s="127">
        <f t="shared" si="71"/>
        <v>9719.9299380191005</v>
      </c>
      <c r="Q64" s="127">
        <f t="shared" si="72"/>
        <v>9719.9299380191005</v>
      </c>
      <c r="S64" s="153" t="s">
        <v>8</v>
      </c>
      <c r="T64" s="77">
        <f t="shared" si="78"/>
        <v>-10887</v>
      </c>
      <c r="U64" s="77">
        <f t="shared" si="79"/>
        <v>-14358</v>
      </c>
      <c r="V64" s="77">
        <f t="shared" si="80"/>
        <v>-14613</v>
      </c>
      <c r="W64" s="77">
        <f t="shared" si="81"/>
        <v>-11280.560000000001</v>
      </c>
      <c r="X64" s="166">
        <f t="shared" si="74"/>
        <v>-12784.64</v>
      </c>
      <c r="Y64" s="167">
        <f t="shared" si="75"/>
        <v>-10887</v>
      </c>
      <c r="Z64" s="167">
        <f t="shared" si="76"/>
        <v>-14613</v>
      </c>
      <c r="AC64" s="119" t="s">
        <v>8</v>
      </c>
      <c r="AD64" s="77">
        <f t="shared" si="82"/>
        <v>10887</v>
      </c>
      <c r="AE64" s="77">
        <f t="shared" si="77"/>
        <v>14358</v>
      </c>
      <c r="AF64" s="77">
        <f t="shared" si="77"/>
        <v>14613</v>
      </c>
      <c r="AG64" s="77">
        <f t="shared" si="77"/>
        <v>11280.560000000001</v>
      </c>
    </row>
    <row r="65" spans="1:34" x14ac:dyDescent="0.25">
      <c r="A65" s="119" t="s">
        <v>9</v>
      </c>
      <c r="B65" s="84">
        <f t="shared" si="65"/>
        <v>11045</v>
      </c>
      <c r="C65" s="84">
        <f t="shared" si="65"/>
        <v>13245</v>
      </c>
      <c r="D65" s="84">
        <f t="shared" si="65"/>
        <v>14160</v>
      </c>
      <c r="E65" s="84">
        <f t="shared" si="65"/>
        <v>16407</v>
      </c>
      <c r="J65" s="119" t="s">
        <v>9</v>
      </c>
      <c r="K65" s="134">
        <f t="shared" si="66"/>
        <v>19428</v>
      </c>
      <c r="L65" s="134">
        <f t="shared" si="67"/>
        <v>18636</v>
      </c>
      <c r="M65" s="134">
        <f t="shared" si="68"/>
        <v>31491</v>
      </c>
      <c r="N65" s="134">
        <f t="shared" si="69"/>
        <v>30282</v>
      </c>
      <c r="O65" s="127">
        <f t="shared" si="70"/>
        <v>24959.25</v>
      </c>
      <c r="P65" s="127">
        <f t="shared" si="71"/>
        <v>6869.5861774927898</v>
      </c>
      <c r="Q65" s="127">
        <f t="shared" si="72"/>
        <v>6869.5861774927898</v>
      </c>
      <c r="S65" s="153" t="s">
        <v>9</v>
      </c>
      <c r="T65" s="77">
        <f t="shared" si="78"/>
        <v>-19428</v>
      </c>
      <c r="U65" s="77">
        <f t="shared" si="79"/>
        <v>-18636</v>
      </c>
      <c r="V65" s="77">
        <f t="shared" si="80"/>
        <v>-17994</v>
      </c>
      <c r="W65" s="77">
        <f t="shared" si="81"/>
        <v>-16785</v>
      </c>
      <c r="X65" s="166">
        <f t="shared" si="74"/>
        <v>-18210.75</v>
      </c>
      <c r="Y65" s="167">
        <f t="shared" si="75"/>
        <v>-16785</v>
      </c>
      <c r="Z65" s="167">
        <f t="shared" si="76"/>
        <v>-19428</v>
      </c>
      <c r="AC65" s="119" t="s">
        <v>9</v>
      </c>
      <c r="AD65" s="77">
        <f t="shared" si="82"/>
        <v>19428</v>
      </c>
      <c r="AE65" s="77">
        <f t="shared" si="77"/>
        <v>18636</v>
      </c>
      <c r="AF65" s="77">
        <f t="shared" si="77"/>
        <v>17994</v>
      </c>
      <c r="AG65" s="77">
        <f t="shared" si="77"/>
        <v>16785</v>
      </c>
    </row>
    <row r="66" spans="1:34" x14ac:dyDescent="0.25">
      <c r="A66" s="119" t="s">
        <v>10</v>
      </c>
      <c r="B66" s="84">
        <f t="shared" si="65"/>
        <v>9775</v>
      </c>
      <c r="C66" s="84">
        <f t="shared" si="65"/>
        <v>11332</v>
      </c>
      <c r="D66" s="84">
        <f t="shared" si="65"/>
        <v>12745</v>
      </c>
      <c r="E66" s="84">
        <f t="shared" si="65"/>
        <v>14942</v>
      </c>
      <c r="J66" s="119" t="s">
        <v>10</v>
      </c>
      <c r="K66" s="134">
        <f t="shared" si="66"/>
        <v>11961</v>
      </c>
      <c r="L66" s="134">
        <f t="shared" si="67"/>
        <v>11358</v>
      </c>
      <c r="M66" s="134">
        <f t="shared" si="68"/>
        <v>19407</v>
      </c>
      <c r="N66" s="134">
        <f t="shared" si="69"/>
        <v>20724</v>
      </c>
      <c r="O66" s="127">
        <f t="shared" si="70"/>
        <v>15862.5</v>
      </c>
      <c r="P66" s="127">
        <f t="shared" si="71"/>
        <v>4889.099610357719</v>
      </c>
      <c r="Q66" s="127">
        <f t="shared" si="72"/>
        <v>4889.099610357719</v>
      </c>
      <c r="S66" s="153" t="s">
        <v>10</v>
      </c>
      <c r="T66" s="77">
        <f t="shared" si="78"/>
        <v>-11961</v>
      </c>
      <c r="U66" s="77">
        <f t="shared" si="79"/>
        <v>-11358</v>
      </c>
      <c r="V66" s="77">
        <f t="shared" si="80"/>
        <v>-6574.6399999999994</v>
      </c>
      <c r="W66" s="77">
        <f t="shared" si="81"/>
        <v>-4012.9200000000019</v>
      </c>
      <c r="X66" s="166">
        <f t="shared" si="74"/>
        <v>-8476.64</v>
      </c>
      <c r="Y66" s="167">
        <f t="shared" si="75"/>
        <v>-4012.9200000000019</v>
      </c>
      <c r="Z66" s="167">
        <f t="shared" si="76"/>
        <v>-11961</v>
      </c>
      <c r="AC66" s="119" t="s">
        <v>10</v>
      </c>
      <c r="AD66" s="77">
        <f t="shared" si="82"/>
        <v>11961</v>
      </c>
      <c r="AE66" s="77">
        <f t="shared" si="77"/>
        <v>11358</v>
      </c>
      <c r="AF66" s="77">
        <f t="shared" si="77"/>
        <v>6574.6399999999994</v>
      </c>
      <c r="AG66" s="77">
        <f t="shared" si="77"/>
        <v>4012.9200000000019</v>
      </c>
    </row>
    <row r="67" spans="1:34" x14ac:dyDescent="0.25">
      <c r="A67" s="119" t="s">
        <v>11</v>
      </c>
      <c r="B67" s="84">
        <f t="shared" si="65"/>
        <v>9874</v>
      </c>
      <c r="C67" s="84">
        <f t="shared" si="65"/>
        <v>8671</v>
      </c>
      <c r="D67" s="84">
        <f t="shared" si="65"/>
        <v>13076</v>
      </c>
      <c r="E67" s="84">
        <f t="shared" si="65"/>
        <v>13168</v>
      </c>
      <c r="J67" s="119" t="s">
        <v>11</v>
      </c>
      <c r="K67" s="134">
        <f t="shared" si="66"/>
        <v>7725</v>
      </c>
      <c r="L67" s="134">
        <f t="shared" si="67"/>
        <v>8070</v>
      </c>
      <c r="M67" s="134">
        <f t="shared" si="68"/>
        <v>20136</v>
      </c>
      <c r="N67" s="134">
        <f t="shared" si="69"/>
        <v>11025</v>
      </c>
      <c r="O67" s="127">
        <f t="shared" si="70"/>
        <v>11739</v>
      </c>
      <c r="P67" s="127">
        <f t="shared" si="71"/>
        <v>5790.6004869961462</v>
      </c>
      <c r="Q67" s="127">
        <f t="shared" si="72"/>
        <v>5790.6004869961462</v>
      </c>
      <c r="S67" s="153" t="s">
        <v>11</v>
      </c>
      <c r="T67" s="77">
        <f t="shared" si="78"/>
        <v>-7725</v>
      </c>
      <c r="U67" s="77">
        <f t="shared" si="79"/>
        <v>-8070</v>
      </c>
      <c r="V67" s="77">
        <f t="shared" si="80"/>
        <v>679.59999999999854</v>
      </c>
      <c r="W67" s="77">
        <f t="shared" si="81"/>
        <v>-5724.2800000000007</v>
      </c>
      <c r="X67" s="166">
        <f t="shared" si="74"/>
        <v>-5209.92</v>
      </c>
      <c r="Y67" s="167">
        <f t="shared" si="75"/>
        <v>679.59999999999854</v>
      </c>
      <c r="Z67" s="167">
        <f t="shared" si="76"/>
        <v>-8070</v>
      </c>
      <c r="AC67" s="119" t="s">
        <v>11</v>
      </c>
      <c r="AD67" s="77">
        <f t="shared" si="82"/>
        <v>7725</v>
      </c>
      <c r="AE67" s="77">
        <f t="shared" si="77"/>
        <v>8070</v>
      </c>
      <c r="AF67" s="77">
        <f t="shared" si="77"/>
        <v>-679.59999999999854</v>
      </c>
      <c r="AG67" s="77">
        <f t="shared" si="77"/>
        <v>5724.2800000000007</v>
      </c>
    </row>
    <row r="68" spans="1:34" x14ac:dyDescent="0.25">
      <c r="A68" s="119" t="s">
        <v>12</v>
      </c>
      <c r="B68" s="84">
        <f t="shared" si="65"/>
        <v>5959</v>
      </c>
      <c r="C68" s="84">
        <f t="shared" si="65"/>
        <v>5679</v>
      </c>
      <c r="D68" s="84">
        <f t="shared" si="65"/>
        <v>10743</v>
      </c>
      <c r="E68" s="84">
        <f t="shared" si="65"/>
        <v>8115</v>
      </c>
      <c r="J68" s="119" t="s">
        <v>12</v>
      </c>
      <c r="K68" s="134">
        <f t="shared" si="66"/>
        <v>3603</v>
      </c>
      <c r="L68" s="134">
        <f t="shared" si="67"/>
        <v>3348</v>
      </c>
      <c r="M68" s="134">
        <f t="shared" si="68"/>
        <v>7296</v>
      </c>
      <c r="N68" s="134">
        <f t="shared" si="69"/>
        <v>0</v>
      </c>
      <c r="O68" s="127">
        <f t="shared" si="70"/>
        <v>3561.75</v>
      </c>
      <c r="P68" s="127">
        <f t="shared" si="71"/>
        <v>2982.0617448335975</v>
      </c>
      <c r="Q68" s="127">
        <f t="shared" si="72"/>
        <v>2982.0617448335975</v>
      </c>
      <c r="S68" s="153" t="s">
        <v>12</v>
      </c>
      <c r="T68" s="77">
        <f t="shared" si="78"/>
        <v>-3603</v>
      </c>
      <c r="U68" s="77">
        <f t="shared" si="79"/>
        <v>-3348</v>
      </c>
      <c r="V68" s="77">
        <f t="shared" si="80"/>
        <v>1236</v>
      </c>
      <c r="W68" s="77">
        <f t="shared" si="81"/>
        <v>8532</v>
      </c>
      <c r="X68" s="166">
        <f t="shared" si="74"/>
        <v>704.25</v>
      </c>
      <c r="Y68" s="167">
        <f t="shared" si="75"/>
        <v>8532</v>
      </c>
      <c r="Z68" s="167">
        <f t="shared" si="76"/>
        <v>-3603</v>
      </c>
      <c r="AC68" s="119" t="s">
        <v>12</v>
      </c>
      <c r="AD68" s="77">
        <f t="shared" si="82"/>
        <v>3603</v>
      </c>
      <c r="AE68" s="77">
        <f t="shared" si="77"/>
        <v>3348</v>
      </c>
      <c r="AF68" s="77">
        <f t="shared" si="77"/>
        <v>-1236</v>
      </c>
      <c r="AG68" s="77">
        <f t="shared" si="77"/>
        <v>-8532</v>
      </c>
    </row>
    <row r="69" spans="1:34" ht="15.75" thickBot="1" x14ac:dyDescent="0.3">
      <c r="A69" s="119" t="s">
        <v>13</v>
      </c>
      <c r="B69" s="84">
        <f t="shared" si="65"/>
        <v>6072</v>
      </c>
      <c r="C69" s="84">
        <f t="shared" si="65"/>
        <v>6841</v>
      </c>
      <c r="D69" s="84">
        <f t="shared" si="65"/>
        <v>8186</v>
      </c>
      <c r="E69" s="84">
        <f t="shared" si="65"/>
        <v>0</v>
      </c>
      <c r="J69" s="119" t="s">
        <v>13</v>
      </c>
      <c r="K69" s="134">
        <f t="shared" si="66"/>
        <v>3825</v>
      </c>
      <c r="L69" s="134">
        <f t="shared" si="67"/>
        <v>3960</v>
      </c>
      <c r="M69" s="134">
        <f t="shared" si="68"/>
        <v>10227</v>
      </c>
      <c r="N69" s="134">
        <f t="shared" si="69"/>
        <v>0</v>
      </c>
      <c r="O69" s="127">
        <f t="shared" si="70"/>
        <v>4503</v>
      </c>
      <c r="P69" s="127">
        <f t="shared" si="71"/>
        <v>4234.6081282687774</v>
      </c>
      <c r="Q69" s="127">
        <f t="shared" si="72"/>
        <v>4234.6081282687774</v>
      </c>
      <c r="S69" s="168" t="s">
        <v>13</v>
      </c>
      <c r="T69" s="77">
        <f t="shared" si="78"/>
        <v>-3825</v>
      </c>
      <c r="U69" s="77">
        <f t="shared" si="79"/>
        <v>-3960</v>
      </c>
      <c r="V69" s="77">
        <f t="shared" si="80"/>
        <v>3096.3599999999988</v>
      </c>
      <c r="W69" s="77">
        <f t="shared" si="81"/>
        <v>8532</v>
      </c>
      <c r="X69" s="166">
        <f t="shared" si="74"/>
        <v>960.83999999999969</v>
      </c>
      <c r="Y69" s="167">
        <f t="shared" si="75"/>
        <v>8532</v>
      </c>
      <c r="Z69" s="167">
        <f t="shared" si="76"/>
        <v>-3960</v>
      </c>
      <c r="AC69" s="139" t="s">
        <v>13</v>
      </c>
      <c r="AD69" s="77">
        <f t="shared" si="82"/>
        <v>3825</v>
      </c>
      <c r="AE69" s="77">
        <f t="shared" si="77"/>
        <v>3960</v>
      </c>
      <c r="AF69" s="77">
        <f t="shared" si="77"/>
        <v>-3096.3599999999988</v>
      </c>
      <c r="AG69" s="77">
        <f t="shared" si="77"/>
        <v>-8532</v>
      </c>
    </row>
    <row r="70" spans="1:34" ht="16.5" thickTop="1" thickBot="1" x14ac:dyDescent="0.3">
      <c r="A70" s="128" t="s">
        <v>0</v>
      </c>
      <c r="B70" s="137">
        <f t="shared" ref="B70:D70" si="83">SUM(B58:B69)</f>
        <v>109913</v>
      </c>
      <c r="C70" s="137">
        <f t="shared" si="83"/>
        <v>126455</v>
      </c>
      <c r="D70" s="137">
        <f t="shared" si="83"/>
        <v>145751</v>
      </c>
      <c r="E70" s="137">
        <f>SUM(E58:E69)</f>
        <v>157081</v>
      </c>
      <c r="J70" s="128" t="s">
        <v>0</v>
      </c>
      <c r="K70" s="129">
        <f t="shared" ref="K70:M70" si="84">SUM(K58:K69)</f>
        <v>93918</v>
      </c>
      <c r="L70" s="129">
        <f t="shared" si="84"/>
        <v>94413</v>
      </c>
      <c r="M70" s="129">
        <f t="shared" si="84"/>
        <v>161646</v>
      </c>
      <c r="N70" s="129">
        <f>SUM(N58:N69)</f>
        <v>159993</v>
      </c>
      <c r="S70" s="169" t="s">
        <v>0</v>
      </c>
      <c r="T70" s="170">
        <f>SUM(T58:T69)</f>
        <v>-93119.44</v>
      </c>
      <c r="U70" s="170">
        <f>SUM(U58:U69)</f>
        <v>-94413</v>
      </c>
      <c r="V70" s="170">
        <f>SUM(V58:V69)</f>
        <v>-63697.599999999991</v>
      </c>
      <c r="W70" s="170">
        <f>SUM(W58:W69)</f>
        <v>-62957.240000000005</v>
      </c>
      <c r="X70" s="148"/>
      <c r="Y70" s="148"/>
      <c r="Z70" s="148"/>
      <c r="AC70" s="138" t="s">
        <v>0</v>
      </c>
      <c r="AD70" s="170">
        <f>SUM(AD58:AD69)</f>
        <v>93119.44</v>
      </c>
      <c r="AE70" s="170">
        <f>SUM(AE58:AE69)</f>
        <v>94413</v>
      </c>
      <c r="AF70" s="170">
        <f>SUM(AF58:AF69)</f>
        <v>63697.599999999991</v>
      </c>
      <c r="AG70" s="170">
        <f>SUM(AG58:AG69)</f>
        <v>62957.240000000005</v>
      </c>
    </row>
    <row r="71" spans="1:34" ht="16.5" thickTop="1" thickBot="1" x14ac:dyDescent="0.3">
      <c r="J71" s="136" t="s">
        <v>14</v>
      </c>
      <c r="K71" s="136"/>
      <c r="L71" s="136"/>
      <c r="M71" s="136"/>
      <c r="N71" s="136"/>
      <c r="O71" s="136"/>
      <c r="P71" s="136"/>
      <c r="Q71" s="136"/>
    </row>
    <row r="72" spans="1:34" ht="17.25" thickTop="1" thickBot="1" x14ac:dyDescent="0.3">
      <c r="A72" s="140" t="s">
        <v>112</v>
      </c>
      <c r="B72" s="141"/>
      <c r="C72" s="141"/>
      <c r="D72" s="141"/>
      <c r="E72" s="141"/>
      <c r="J72" s="140" t="s">
        <v>209</v>
      </c>
      <c r="K72" s="141"/>
      <c r="L72" s="141"/>
      <c r="M72" s="141"/>
      <c r="N72" s="141"/>
      <c r="O72" s="142"/>
      <c r="S72" s="149" t="s">
        <v>174</v>
      </c>
      <c r="T72" s="164"/>
      <c r="U72" s="164"/>
      <c r="V72" s="164"/>
      <c r="W72" s="164"/>
      <c r="X72" s="150"/>
      <c r="Y72" s="148"/>
      <c r="Z72" s="148"/>
      <c r="AC72" s="140" t="s">
        <v>251</v>
      </c>
      <c r="AD72" s="141"/>
      <c r="AE72" s="141"/>
      <c r="AF72" s="141"/>
      <c r="AG72" s="141"/>
    </row>
    <row r="73" spans="1:34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  <c r="J73" s="124"/>
      <c r="K73" s="125">
        <v>2014</v>
      </c>
      <c r="L73" s="125">
        <v>2015</v>
      </c>
      <c r="M73" s="125">
        <v>2016</v>
      </c>
      <c r="N73" s="125">
        <v>2017</v>
      </c>
      <c r="O73" s="126" t="s">
        <v>1</v>
      </c>
      <c r="P73" s="117" t="s">
        <v>18</v>
      </c>
      <c r="Q73" s="117" t="s">
        <v>17</v>
      </c>
      <c r="S73" s="151"/>
      <c r="T73" s="147">
        <v>2014</v>
      </c>
      <c r="U73" s="147">
        <v>2015</v>
      </c>
      <c r="V73" s="147">
        <v>2016</v>
      </c>
      <c r="W73" s="147">
        <v>2017</v>
      </c>
      <c r="X73" s="152" t="s">
        <v>1</v>
      </c>
      <c r="Y73" s="165" t="s">
        <v>18</v>
      </c>
      <c r="Z73" s="165" t="s">
        <v>17</v>
      </c>
      <c r="AC73" s="124"/>
      <c r="AD73" s="125">
        <v>2014</v>
      </c>
      <c r="AE73" s="125">
        <v>2015</v>
      </c>
      <c r="AF73" s="125">
        <v>2016</v>
      </c>
      <c r="AG73" s="125">
        <v>2017</v>
      </c>
      <c r="AH73" s="152" t="s">
        <v>1</v>
      </c>
    </row>
    <row r="74" spans="1:34" x14ac:dyDescent="0.25">
      <c r="A74" s="119" t="s">
        <v>2</v>
      </c>
      <c r="B74" s="133">
        <f>K107*Générale!$B$4</f>
        <v>0</v>
      </c>
      <c r="C74" s="133">
        <f>L107*Générale!$B$4</f>
        <v>0</v>
      </c>
      <c r="D74" s="133">
        <f>M107*Générale!$B$4</f>
        <v>0</v>
      </c>
      <c r="E74" s="133">
        <f>N107*Générale!$B$4</f>
        <v>990</v>
      </c>
      <c r="J74" s="119" t="s">
        <v>2</v>
      </c>
      <c r="K74" s="134">
        <f>B58</f>
        <v>5989</v>
      </c>
      <c r="L74" s="134">
        <f t="shared" ref="L74:N85" si="85">C58</f>
        <v>7836</v>
      </c>
      <c r="M74" s="134">
        <f t="shared" si="85"/>
        <v>5926</v>
      </c>
      <c r="N74" s="134">
        <f t="shared" si="85"/>
        <v>8029</v>
      </c>
      <c r="O74" s="127">
        <f t="shared" ref="O74:O85" si="86">AVERAGE(K74:N74)</f>
        <v>6945</v>
      </c>
      <c r="P74" s="127">
        <f t="shared" ref="P74:P85" si="87">STDEVA(K74:N74)</f>
        <v>1143.2751199951829</v>
      </c>
      <c r="Q74" s="127">
        <f t="shared" ref="Q74:Q85" si="88">STDEVA(K74:N74)</f>
        <v>1143.2751199951829</v>
      </c>
      <c r="S74" s="153" t="s">
        <v>2</v>
      </c>
      <c r="T74" s="77">
        <f>B3-K74</f>
        <v>-5989</v>
      </c>
      <c r="U74" s="77">
        <f t="shared" ref="U74:W74" si="89">C3-L74</f>
        <v>-7836</v>
      </c>
      <c r="V74" s="77">
        <f t="shared" si="89"/>
        <v>-5585.6</v>
      </c>
      <c r="W74" s="77">
        <f t="shared" si="89"/>
        <v>-7688.6</v>
      </c>
      <c r="X74" s="166">
        <f t="shared" ref="X74:X85" si="90">AVERAGE(T74:W74)</f>
        <v>-6774.7999999999993</v>
      </c>
      <c r="Y74" s="167">
        <f t="shared" ref="Y74:Y85" si="91">MAX(T74:W74)</f>
        <v>-5585.6</v>
      </c>
      <c r="Z74" s="167">
        <f t="shared" ref="Z74:Z85" si="92">MIN(T74:W74)</f>
        <v>-7836</v>
      </c>
      <c r="AC74" s="119" t="s">
        <v>2</v>
      </c>
      <c r="AD74" s="77">
        <f>-1*T74</f>
        <v>5989</v>
      </c>
      <c r="AE74" s="77">
        <f t="shared" ref="AE74:AG85" si="93">-1*U74</f>
        <v>7836</v>
      </c>
      <c r="AF74" s="77">
        <f t="shared" si="93"/>
        <v>5585.6</v>
      </c>
      <c r="AG74" s="77">
        <f t="shared" si="93"/>
        <v>7688.6</v>
      </c>
      <c r="AH74" s="166">
        <f t="shared" ref="AH74:AH85" si="94">AVERAGE(AD74:AG74)</f>
        <v>6774.7999999999993</v>
      </c>
    </row>
    <row r="75" spans="1:34" x14ac:dyDescent="0.25">
      <c r="A75" s="119" t="s">
        <v>3</v>
      </c>
      <c r="B75" s="133">
        <f>K108*Générale!$B$4</f>
        <v>183</v>
      </c>
      <c r="C75" s="133">
        <f>L108*Générale!$B$4</f>
        <v>0</v>
      </c>
      <c r="D75" s="133">
        <f>M108*Générale!$B$4</f>
        <v>0</v>
      </c>
      <c r="E75" s="133">
        <f>N108*Générale!$B$4</f>
        <v>1338</v>
      </c>
      <c r="J75" s="119" t="s">
        <v>3</v>
      </c>
      <c r="K75" s="134">
        <f t="shared" ref="K75:K85" si="95">B59</f>
        <v>7535</v>
      </c>
      <c r="L75" s="134">
        <f t="shared" si="85"/>
        <v>8633</v>
      </c>
      <c r="M75" s="134">
        <f t="shared" si="85"/>
        <v>9145</v>
      </c>
      <c r="N75" s="134">
        <f t="shared" si="85"/>
        <v>10481</v>
      </c>
      <c r="O75" s="127">
        <f t="shared" si="86"/>
        <v>8948.5</v>
      </c>
      <c r="P75" s="127">
        <f t="shared" si="87"/>
        <v>1222.6598055060124</v>
      </c>
      <c r="Q75" s="127">
        <f t="shared" si="88"/>
        <v>1222.6598055060124</v>
      </c>
      <c r="S75" s="153" t="s">
        <v>3</v>
      </c>
      <c r="T75" s="77">
        <f t="shared" ref="T75:T85" si="96">B4-K75</f>
        <v>-6231</v>
      </c>
      <c r="U75" s="77">
        <f t="shared" ref="U75:U85" si="97">C4-L75</f>
        <v>-8633</v>
      </c>
      <c r="V75" s="77">
        <f t="shared" ref="V75:V85" si="98">D4-M75</f>
        <v>-9145</v>
      </c>
      <c r="W75" s="77">
        <f t="shared" ref="W75:W83" si="99">E4-N75</f>
        <v>-10481</v>
      </c>
      <c r="X75" s="166">
        <f t="shared" si="90"/>
        <v>-8622.5</v>
      </c>
      <c r="Y75" s="167">
        <f t="shared" si="91"/>
        <v>-6231</v>
      </c>
      <c r="Z75" s="167">
        <f t="shared" si="92"/>
        <v>-10481</v>
      </c>
      <c r="AC75" s="119" t="s">
        <v>3</v>
      </c>
      <c r="AD75" s="77">
        <f t="shared" ref="AD75:AD85" si="100">-1*T75</f>
        <v>6231</v>
      </c>
      <c r="AE75" s="77">
        <f t="shared" si="93"/>
        <v>8633</v>
      </c>
      <c r="AF75" s="77">
        <f t="shared" si="93"/>
        <v>9145</v>
      </c>
      <c r="AG75" s="77">
        <f t="shared" si="93"/>
        <v>10481</v>
      </c>
      <c r="AH75" s="166">
        <f t="shared" si="94"/>
        <v>8622.5</v>
      </c>
    </row>
    <row r="76" spans="1:34" x14ac:dyDescent="0.25">
      <c r="A76" s="119" t="s">
        <v>4</v>
      </c>
      <c r="B76" s="133">
        <f>K109*Générale!$B$4</f>
        <v>0</v>
      </c>
      <c r="C76" s="133">
        <f>L109*Générale!$B$4</f>
        <v>0</v>
      </c>
      <c r="D76" s="133">
        <f>M109*Générale!$B$4</f>
        <v>0</v>
      </c>
      <c r="E76" s="133">
        <f>N109*Générale!$B$4</f>
        <v>1776</v>
      </c>
      <c r="J76" s="119" t="s">
        <v>4</v>
      </c>
      <c r="K76" s="134">
        <f t="shared" si="95"/>
        <v>8167</v>
      </c>
      <c r="L76" s="134">
        <f t="shared" si="85"/>
        <v>9301</v>
      </c>
      <c r="M76" s="134">
        <f t="shared" si="85"/>
        <v>9357</v>
      </c>
      <c r="N76" s="134">
        <f t="shared" si="85"/>
        <v>16158</v>
      </c>
      <c r="O76" s="127">
        <f t="shared" si="86"/>
        <v>10745.75</v>
      </c>
      <c r="P76" s="127">
        <f t="shared" si="87"/>
        <v>3649.581288769074</v>
      </c>
      <c r="Q76" s="127">
        <f t="shared" si="88"/>
        <v>3649.581288769074</v>
      </c>
      <c r="S76" s="153" t="s">
        <v>4</v>
      </c>
      <c r="T76" s="77">
        <f t="shared" si="96"/>
        <v>-8167</v>
      </c>
      <c r="U76" s="77">
        <f t="shared" si="97"/>
        <v>-9301</v>
      </c>
      <c r="V76" s="77">
        <f t="shared" si="98"/>
        <v>-9357</v>
      </c>
      <c r="W76" s="77">
        <f t="shared" si="99"/>
        <v>-16158</v>
      </c>
      <c r="X76" s="166">
        <f t="shared" si="90"/>
        <v>-10745.75</v>
      </c>
      <c r="Y76" s="167">
        <f t="shared" si="91"/>
        <v>-8167</v>
      </c>
      <c r="Z76" s="167">
        <f t="shared" si="92"/>
        <v>-16158</v>
      </c>
      <c r="AC76" s="119" t="s">
        <v>4</v>
      </c>
      <c r="AD76" s="77">
        <f t="shared" si="100"/>
        <v>8167</v>
      </c>
      <c r="AE76" s="77">
        <f t="shared" si="93"/>
        <v>9301</v>
      </c>
      <c r="AF76" s="77">
        <f t="shared" si="93"/>
        <v>9357</v>
      </c>
      <c r="AG76" s="77">
        <f t="shared" si="93"/>
        <v>16158</v>
      </c>
      <c r="AH76" s="166">
        <f t="shared" si="94"/>
        <v>10745.75</v>
      </c>
    </row>
    <row r="77" spans="1:34" x14ac:dyDescent="0.25">
      <c r="A77" s="119" t="s">
        <v>5</v>
      </c>
      <c r="B77" s="133">
        <f>K110*Générale!$B$4</f>
        <v>0</v>
      </c>
      <c r="C77" s="133">
        <f>L110*Générale!$B$4</f>
        <v>0</v>
      </c>
      <c r="D77" s="133">
        <f>M110*Générale!$B$4</f>
        <v>0</v>
      </c>
      <c r="E77" s="133">
        <f>N110*Générale!$B$4</f>
        <v>972</v>
      </c>
      <c r="J77" s="119" t="s">
        <v>5</v>
      </c>
      <c r="K77" s="134">
        <f t="shared" si="95"/>
        <v>11163</v>
      </c>
      <c r="L77" s="134">
        <f t="shared" si="85"/>
        <v>11519</v>
      </c>
      <c r="M77" s="134">
        <f t="shared" si="85"/>
        <v>12561</v>
      </c>
      <c r="N77" s="134">
        <f t="shared" si="85"/>
        <v>13682</v>
      </c>
      <c r="O77" s="127">
        <f t="shared" si="86"/>
        <v>12231.25</v>
      </c>
      <c r="P77" s="127">
        <f t="shared" si="87"/>
        <v>1134.5878473407572</v>
      </c>
      <c r="Q77" s="127">
        <f t="shared" si="88"/>
        <v>1134.5878473407572</v>
      </c>
      <c r="S77" s="153" t="s">
        <v>5</v>
      </c>
      <c r="T77" s="77">
        <f t="shared" si="96"/>
        <v>-11163</v>
      </c>
      <c r="U77" s="77">
        <f t="shared" si="97"/>
        <v>-11519</v>
      </c>
      <c r="V77" s="77">
        <f t="shared" si="98"/>
        <v>-12561</v>
      </c>
      <c r="W77" s="77">
        <f t="shared" si="99"/>
        <v>-12826.4</v>
      </c>
      <c r="X77" s="166">
        <f t="shared" si="90"/>
        <v>-12017.35</v>
      </c>
      <c r="Y77" s="167">
        <f t="shared" si="91"/>
        <v>-11163</v>
      </c>
      <c r="Z77" s="167">
        <f t="shared" si="92"/>
        <v>-12826.4</v>
      </c>
      <c r="AC77" s="119" t="s">
        <v>5</v>
      </c>
      <c r="AD77" s="77">
        <f t="shared" si="100"/>
        <v>11163</v>
      </c>
      <c r="AE77" s="77">
        <f t="shared" si="93"/>
        <v>11519</v>
      </c>
      <c r="AF77" s="77">
        <f t="shared" si="93"/>
        <v>12561</v>
      </c>
      <c r="AG77" s="77">
        <f t="shared" si="93"/>
        <v>12826.4</v>
      </c>
      <c r="AH77" s="166">
        <f t="shared" si="94"/>
        <v>12017.35</v>
      </c>
    </row>
    <row r="78" spans="1:34" x14ac:dyDescent="0.25">
      <c r="A78" s="119" t="s">
        <v>6</v>
      </c>
      <c r="B78" s="133">
        <f>K111*Générale!$B$4</f>
        <v>0</v>
      </c>
      <c r="C78" s="133">
        <f>L111*Générale!$B$4</f>
        <v>0</v>
      </c>
      <c r="D78" s="133">
        <f>M111*Générale!$B$4</f>
        <v>0</v>
      </c>
      <c r="E78" s="133">
        <f>N111*Générale!$B$4</f>
        <v>1509</v>
      </c>
      <c r="J78" s="119" t="s">
        <v>6</v>
      </c>
      <c r="K78" s="134">
        <f t="shared" si="95"/>
        <v>12618</v>
      </c>
      <c r="L78" s="134">
        <f t="shared" si="85"/>
        <v>12486</v>
      </c>
      <c r="M78" s="134">
        <f t="shared" si="85"/>
        <v>12816</v>
      </c>
      <c r="N78" s="134">
        <f t="shared" si="85"/>
        <v>17088</v>
      </c>
      <c r="O78" s="127">
        <f t="shared" si="86"/>
        <v>13752</v>
      </c>
      <c r="P78" s="127">
        <f t="shared" si="87"/>
        <v>2228.1310553914909</v>
      </c>
      <c r="Q78" s="127">
        <f t="shared" si="88"/>
        <v>2228.1310553914909</v>
      </c>
      <c r="S78" s="153" t="s">
        <v>6</v>
      </c>
      <c r="T78" s="77">
        <f t="shared" si="96"/>
        <v>-12618</v>
      </c>
      <c r="U78" s="77">
        <f t="shared" si="97"/>
        <v>-12486</v>
      </c>
      <c r="V78" s="77">
        <f t="shared" si="98"/>
        <v>-12816</v>
      </c>
      <c r="W78" s="77">
        <f t="shared" si="99"/>
        <v>-16680</v>
      </c>
      <c r="X78" s="166">
        <f t="shared" si="90"/>
        <v>-13650</v>
      </c>
      <c r="Y78" s="167">
        <f t="shared" si="91"/>
        <v>-12486</v>
      </c>
      <c r="Z78" s="167">
        <f t="shared" si="92"/>
        <v>-16680</v>
      </c>
      <c r="AC78" s="119" t="s">
        <v>6</v>
      </c>
      <c r="AD78" s="77">
        <f t="shared" si="100"/>
        <v>12618</v>
      </c>
      <c r="AE78" s="77">
        <f t="shared" si="93"/>
        <v>12486</v>
      </c>
      <c r="AF78" s="77">
        <f t="shared" si="93"/>
        <v>12816</v>
      </c>
      <c r="AG78" s="77">
        <f t="shared" si="93"/>
        <v>16680</v>
      </c>
      <c r="AH78" s="166">
        <f t="shared" si="94"/>
        <v>13650</v>
      </c>
    </row>
    <row r="79" spans="1:34" x14ac:dyDescent="0.25">
      <c r="A79" s="119" t="s">
        <v>7</v>
      </c>
      <c r="B79" s="133">
        <f>K112*Générale!$B$4</f>
        <v>0</v>
      </c>
      <c r="C79" s="133">
        <f>L112*Générale!$B$4</f>
        <v>0</v>
      </c>
      <c r="D79" s="133">
        <f>M112*Générale!$B$4</f>
        <v>1857</v>
      </c>
      <c r="E79" s="133">
        <f>N112*Générale!$B$4</f>
        <v>1947</v>
      </c>
      <c r="J79" s="119" t="s">
        <v>7</v>
      </c>
      <c r="K79" s="134">
        <f t="shared" si="95"/>
        <v>10904</v>
      </c>
      <c r="L79" s="134">
        <f t="shared" si="85"/>
        <v>14863</v>
      </c>
      <c r="M79" s="134">
        <f t="shared" si="85"/>
        <v>18437</v>
      </c>
      <c r="N79" s="134">
        <f t="shared" si="85"/>
        <v>20529</v>
      </c>
      <c r="O79" s="127">
        <f t="shared" si="86"/>
        <v>16183.25</v>
      </c>
      <c r="P79" s="127">
        <f t="shared" si="87"/>
        <v>4226.049090659817</v>
      </c>
      <c r="Q79" s="127">
        <f t="shared" si="88"/>
        <v>4226.049090659817</v>
      </c>
      <c r="S79" s="153" t="s">
        <v>7</v>
      </c>
      <c r="T79" s="77">
        <f t="shared" si="96"/>
        <v>-10904</v>
      </c>
      <c r="U79" s="77">
        <f t="shared" si="97"/>
        <v>-14863</v>
      </c>
      <c r="V79" s="77">
        <f t="shared" si="98"/>
        <v>-17456.12</v>
      </c>
      <c r="W79" s="77">
        <f t="shared" si="99"/>
        <v>-19449.96</v>
      </c>
      <c r="X79" s="166">
        <f t="shared" si="90"/>
        <v>-15668.269999999999</v>
      </c>
      <c r="Y79" s="167">
        <f t="shared" si="91"/>
        <v>-10904</v>
      </c>
      <c r="Z79" s="167">
        <f t="shared" si="92"/>
        <v>-19449.96</v>
      </c>
      <c r="AC79" s="119" t="s">
        <v>7</v>
      </c>
      <c r="AD79" s="77">
        <f t="shared" si="100"/>
        <v>10904</v>
      </c>
      <c r="AE79" s="77">
        <f t="shared" si="93"/>
        <v>14863</v>
      </c>
      <c r="AF79" s="77">
        <f t="shared" si="93"/>
        <v>17456.12</v>
      </c>
      <c r="AG79" s="77">
        <f t="shared" si="93"/>
        <v>19449.96</v>
      </c>
      <c r="AH79" s="166">
        <f t="shared" si="94"/>
        <v>15668.269999999999</v>
      </c>
    </row>
    <row r="80" spans="1:34" x14ac:dyDescent="0.25">
      <c r="A80" s="119" t="s">
        <v>8</v>
      </c>
      <c r="B80" s="133">
        <f>K113*Générale!$B$4</f>
        <v>0</v>
      </c>
      <c r="C80" s="133">
        <f>L113*Générale!$B$4</f>
        <v>0</v>
      </c>
      <c r="D80" s="133">
        <f>M113*Générale!$B$4</f>
        <v>906</v>
      </c>
      <c r="E80" s="133">
        <f>N113*Générale!$B$4</f>
        <v>4152</v>
      </c>
      <c r="J80" s="119" t="s">
        <v>8</v>
      </c>
      <c r="K80" s="134">
        <f t="shared" si="95"/>
        <v>10812</v>
      </c>
      <c r="L80" s="134">
        <f t="shared" si="85"/>
        <v>16049</v>
      </c>
      <c r="M80" s="134">
        <f t="shared" si="85"/>
        <v>18599</v>
      </c>
      <c r="N80" s="134">
        <f t="shared" si="85"/>
        <v>18482</v>
      </c>
      <c r="O80" s="127">
        <f t="shared" si="86"/>
        <v>15985.5</v>
      </c>
      <c r="P80" s="127">
        <f t="shared" si="87"/>
        <v>3643.8088588728142</v>
      </c>
      <c r="Q80" s="127">
        <f t="shared" si="88"/>
        <v>3643.8088588728142</v>
      </c>
      <c r="S80" s="153" t="s">
        <v>8</v>
      </c>
      <c r="T80" s="77">
        <f t="shared" si="96"/>
        <v>-10812</v>
      </c>
      <c r="U80" s="77">
        <f t="shared" si="97"/>
        <v>-16049</v>
      </c>
      <c r="V80" s="77">
        <f t="shared" si="98"/>
        <v>-18427.88</v>
      </c>
      <c r="W80" s="77">
        <f t="shared" si="99"/>
        <v>-17362.88</v>
      </c>
      <c r="X80" s="166">
        <f t="shared" si="90"/>
        <v>-15662.940000000002</v>
      </c>
      <c r="Y80" s="167">
        <f t="shared" si="91"/>
        <v>-10812</v>
      </c>
      <c r="Z80" s="167">
        <f t="shared" si="92"/>
        <v>-18427.88</v>
      </c>
      <c r="AC80" s="119" t="s">
        <v>8</v>
      </c>
      <c r="AD80" s="77">
        <f t="shared" si="100"/>
        <v>10812</v>
      </c>
      <c r="AE80" s="77">
        <f t="shared" si="93"/>
        <v>16049</v>
      </c>
      <c r="AF80" s="77">
        <f t="shared" si="93"/>
        <v>18427.88</v>
      </c>
      <c r="AG80" s="77">
        <f t="shared" si="93"/>
        <v>17362.88</v>
      </c>
      <c r="AH80" s="166">
        <f t="shared" si="94"/>
        <v>15662.940000000002</v>
      </c>
    </row>
    <row r="81" spans="1:34" x14ac:dyDescent="0.25">
      <c r="A81" s="119" t="s">
        <v>9</v>
      </c>
      <c r="B81" s="133">
        <f>K114*Générale!$B$4</f>
        <v>0</v>
      </c>
      <c r="C81" s="133">
        <f>L114*Générale!$B$4</f>
        <v>0</v>
      </c>
      <c r="D81" s="133">
        <f>M114*Générale!$B$4</f>
        <v>480</v>
      </c>
      <c r="E81" s="133">
        <f>N114*Générale!$B$4</f>
        <v>0</v>
      </c>
      <c r="J81" s="119" t="s">
        <v>9</v>
      </c>
      <c r="K81" s="134">
        <f t="shared" si="95"/>
        <v>11045</v>
      </c>
      <c r="L81" s="134">
        <f t="shared" si="85"/>
        <v>13245</v>
      </c>
      <c r="M81" s="134">
        <f t="shared" si="85"/>
        <v>14160</v>
      </c>
      <c r="N81" s="134">
        <f t="shared" si="85"/>
        <v>16407</v>
      </c>
      <c r="O81" s="127">
        <f t="shared" si="86"/>
        <v>13714.25</v>
      </c>
      <c r="P81" s="127">
        <f t="shared" si="87"/>
        <v>2220.7121042584517</v>
      </c>
      <c r="Q81" s="127">
        <f t="shared" si="88"/>
        <v>2220.7121042584517</v>
      </c>
      <c r="S81" s="153" t="s">
        <v>9</v>
      </c>
      <c r="T81" s="77">
        <f t="shared" si="96"/>
        <v>-11045</v>
      </c>
      <c r="U81" s="77">
        <f t="shared" si="97"/>
        <v>-13245</v>
      </c>
      <c r="V81" s="77">
        <f t="shared" si="98"/>
        <v>-13028.880000000001</v>
      </c>
      <c r="W81" s="77">
        <f t="shared" si="99"/>
        <v>-15447</v>
      </c>
      <c r="X81" s="166">
        <f t="shared" si="90"/>
        <v>-13191.470000000001</v>
      </c>
      <c r="Y81" s="167">
        <f t="shared" si="91"/>
        <v>-11045</v>
      </c>
      <c r="Z81" s="167">
        <f t="shared" si="92"/>
        <v>-15447</v>
      </c>
      <c r="AC81" s="119" t="s">
        <v>9</v>
      </c>
      <c r="AD81" s="77">
        <f t="shared" si="100"/>
        <v>11045</v>
      </c>
      <c r="AE81" s="77">
        <f t="shared" si="93"/>
        <v>13245</v>
      </c>
      <c r="AF81" s="77">
        <f t="shared" si="93"/>
        <v>13028.880000000001</v>
      </c>
      <c r="AG81" s="77">
        <f t="shared" si="93"/>
        <v>15447</v>
      </c>
      <c r="AH81" s="166">
        <f t="shared" si="94"/>
        <v>13191.470000000001</v>
      </c>
    </row>
    <row r="82" spans="1:34" x14ac:dyDescent="0.25">
      <c r="A82" s="119" t="s">
        <v>10</v>
      </c>
      <c r="B82" s="133">
        <f>K115*Générale!$B$4</f>
        <v>0</v>
      </c>
      <c r="C82" s="133">
        <f>L115*Générale!$B$4</f>
        <v>0</v>
      </c>
      <c r="D82" s="133">
        <f>M115*Générale!$B$4</f>
        <v>1875</v>
      </c>
      <c r="E82" s="133">
        <f>N115*Générale!$B$4</f>
        <v>4110</v>
      </c>
      <c r="J82" s="119" t="s">
        <v>10</v>
      </c>
      <c r="K82" s="134">
        <f t="shared" si="95"/>
        <v>9775</v>
      </c>
      <c r="L82" s="134">
        <f t="shared" si="85"/>
        <v>11332</v>
      </c>
      <c r="M82" s="134">
        <f t="shared" si="85"/>
        <v>12745</v>
      </c>
      <c r="N82" s="134">
        <f t="shared" si="85"/>
        <v>14942</v>
      </c>
      <c r="O82" s="127">
        <f t="shared" si="86"/>
        <v>12198.5</v>
      </c>
      <c r="P82" s="127">
        <f t="shared" si="87"/>
        <v>2194.6623886147045</v>
      </c>
      <c r="Q82" s="127">
        <f t="shared" si="88"/>
        <v>2194.6623886147045</v>
      </c>
      <c r="S82" s="153" t="s">
        <v>10</v>
      </c>
      <c r="T82" s="77">
        <f t="shared" si="96"/>
        <v>-9775</v>
      </c>
      <c r="U82" s="77">
        <f t="shared" si="97"/>
        <v>-11332</v>
      </c>
      <c r="V82" s="77">
        <f t="shared" si="98"/>
        <v>-12001.24</v>
      </c>
      <c r="W82" s="77">
        <f t="shared" si="99"/>
        <v>-13862.96</v>
      </c>
      <c r="X82" s="166">
        <f t="shared" si="90"/>
        <v>-11742.8</v>
      </c>
      <c r="Y82" s="167">
        <f t="shared" si="91"/>
        <v>-9775</v>
      </c>
      <c r="Z82" s="167">
        <f t="shared" si="92"/>
        <v>-13862.96</v>
      </c>
      <c r="AC82" s="119" t="s">
        <v>10</v>
      </c>
      <c r="AD82" s="77">
        <f t="shared" si="100"/>
        <v>9775</v>
      </c>
      <c r="AE82" s="77">
        <f t="shared" si="93"/>
        <v>11332</v>
      </c>
      <c r="AF82" s="77">
        <f t="shared" si="93"/>
        <v>12001.24</v>
      </c>
      <c r="AG82" s="77">
        <f t="shared" si="93"/>
        <v>13862.96</v>
      </c>
      <c r="AH82" s="166">
        <f t="shared" si="94"/>
        <v>11742.8</v>
      </c>
    </row>
    <row r="83" spans="1:34" x14ac:dyDescent="0.25">
      <c r="A83" s="119" t="s">
        <v>11</v>
      </c>
      <c r="B83" s="133">
        <f>K116*Générale!$B$4</f>
        <v>0</v>
      </c>
      <c r="C83" s="133">
        <f>L116*Générale!$B$4</f>
        <v>0</v>
      </c>
      <c r="D83" s="133">
        <f>M116*Générale!$B$4</f>
        <v>11118</v>
      </c>
      <c r="E83" s="133">
        <f>N116*Générale!$B$4</f>
        <v>2196</v>
      </c>
      <c r="J83" s="119" t="s">
        <v>11</v>
      </c>
      <c r="K83" s="134">
        <f t="shared" si="95"/>
        <v>9874</v>
      </c>
      <c r="L83" s="134">
        <f t="shared" si="85"/>
        <v>8671</v>
      </c>
      <c r="M83" s="134">
        <f t="shared" si="85"/>
        <v>13076</v>
      </c>
      <c r="N83" s="134">
        <f t="shared" si="85"/>
        <v>13168</v>
      </c>
      <c r="O83" s="127">
        <f t="shared" si="86"/>
        <v>11197.25</v>
      </c>
      <c r="P83" s="127">
        <f t="shared" si="87"/>
        <v>2276.436304841407</v>
      </c>
      <c r="Q83" s="127">
        <f t="shared" si="88"/>
        <v>2276.436304841407</v>
      </c>
      <c r="S83" s="153" t="s">
        <v>11</v>
      </c>
      <c r="T83" s="77">
        <f t="shared" si="96"/>
        <v>-9874</v>
      </c>
      <c r="U83" s="77">
        <f t="shared" si="97"/>
        <v>-8671</v>
      </c>
      <c r="V83" s="77">
        <f t="shared" si="98"/>
        <v>-4060.8000000000011</v>
      </c>
      <c r="W83" s="77">
        <f t="shared" si="99"/>
        <v>-12312.4</v>
      </c>
      <c r="X83" s="166">
        <f t="shared" si="90"/>
        <v>-8729.5500000000011</v>
      </c>
      <c r="Y83" s="167">
        <f t="shared" si="91"/>
        <v>-4060.8000000000011</v>
      </c>
      <c r="Z83" s="167">
        <f t="shared" si="92"/>
        <v>-12312.4</v>
      </c>
      <c r="AC83" s="119" t="s">
        <v>11</v>
      </c>
      <c r="AD83" s="77">
        <f t="shared" si="100"/>
        <v>9874</v>
      </c>
      <c r="AE83" s="77">
        <f t="shared" si="93"/>
        <v>8671</v>
      </c>
      <c r="AF83" s="77">
        <f t="shared" si="93"/>
        <v>4060.8000000000011</v>
      </c>
      <c r="AG83" s="77">
        <f t="shared" si="93"/>
        <v>12312.4</v>
      </c>
      <c r="AH83" s="166">
        <f t="shared" si="94"/>
        <v>8729.5500000000011</v>
      </c>
    </row>
    <row r="84" spans="1:34" x14ac:dyDescent="0.25">
      <c r="A84" s="119" t="s">
        <v>12</v>
      </c>
      <c r="B84" s="133">
        <f>K117*Générale!$B$4</f>
        <v>0</v>
      </c>
      <c r="C84" s="133">
        <f>L117*Générale!$B$4</f>
        <v>0</v>
      </c>
      <c r="D84" s="133">
        <f>M117*Générale!$B$4</f>
        <v>1482</v>
      </c>
      <c r="E84" s="133">
        <f>N117*Générale!$B$4</f>
        <v>0</v>
      </c>
      <c r="J84" s="119" t="s">
        <v>12</v>
      </c>
      <c r="K84" s="134">
        <f t="shared" si="95"/>
        <v>5959</v>
      </c>
      <c r="L84" s="134">
        <f t="shared" si="85"/>
        <v>5679</v>
      </c>
      <c r="M84" s="134">
        <f t="shared" si="85"/>
        <v>10743</v>
      </c>
      <c r="N84" s="134">
        <f t="shared" si="85"/>
        <v>8115</v>
      </c>
      <c r="O84" s="127">
        <f t="shared" si="86"/>
        <v>7624</v>
      </c>
      <c r="P84" s="127">
        <f t="shared" si="87"/>
        <v>2346.9478051290362</v>
      </c>
      <c r="Q84" s="127">
        <f t="shared" si="88"/>
        <v>2346.9478051290362</v>
      </c>
      <c r="S84" s="153" t="s">
        <v>12</v>
      </c>
      <c r="T84" s="77">
        <f t="shared" si="96"/>
        <v>-5959</v>
      </c>
      <c r="U84" s="77">
        <f t="shared" si="97"/>
        <v>-5679</v>
      </c>
      <c r="V84" s="77">
        <f t="shared" si="98"/>
        <v>-10129</v>
      </c>
      <c r="W84" s="77"/>
      <c r="X84" s="166">
        <f t="shared" si="90"/>
        <v>-7255.666666666667</v>
      </c>
      <c r="Y84" s="167">
        <f t="shared" si="91"/>
        <v>-5679</v>
      </c>
      <c r="Z84" s="167">
        <f t="shared" si="92"/>
        <v>-10129</v>
      </c>
      <c r="AC84" s="119" t="s">
        <v>12</v>
      </c>
      <c r="AD84" s="77">
        <f t="shared" si="100"/>
        <v>5959</v>
      </c>
      <c r="AE84" s="77">
        <f t="shared" si="93"/>
        <v>5679</v>
      </c>
      <c r="AF84" s="77">
        <f t="shared" si="93"/>
        <v>10129</v>
      </c>
      <c r="AG84" s="77"/>
      <c r="AH84" s="166">
        <f t="shared" si="94"/>
        <v>7255.666666666667</v>
      </c>
    </row>
    <row r="85" spans="1:34" ht="15.75" thickBot="1" x14ac:dyDescent="0.3">
      <c r="A85" s="119" t="s">
        <v>13</v>
      </c>
      <c r="B85" s="133">
        <f>K118*Générale!$B$4</f>
        <v>0</v>
      </c>
      <c r="C85" s="133">
        <f>L118*Générale!$B$4</f>
        <v>0</v>
      </c>
      <c r="D85" s="133">
        <f>M118*Générale!$B$4</f>
        <v>4389</v>
      </c>
      <c r="E85" s="133">
        <f>N118*Générale!$B$4</f>
        <v>0</v>
      </c>
      <c r="J85" s="119" t="s">
        <v>13</v>
      </c>
      <c r="K85" s="134">
        <f t="shared" si="95"/>
        <v>6072</v>
      </c>
      <c r="L85" s="134">
        <f t="shared" si="85"/>
        <v>6841</v>
      </c>
      <c r="M85" s="134">
        <f t="shared" si="85"/>
        <v>8186</v>
      </c>
      <c r="N85" s="134">
        <f t="shared" si="85"/>
        <v>0</v>
      </c>
      <c r="O85" s="127">
        <f t="shared" si="86"/>
        <v>5274.75</v>
      </c>
      <c r="P85" s="127">
        <f t="shared" si="87"/>
        <v>3623.401291144367</v>
      </c>
      <c r="Q85" s="127">
        <f t="shared" si="88"/>
        <v>3623.401291144367</v>
      </c>
      <c r="S85" s="168" t="s">
        <v>13</v>
      </c>
      <c r="T85" s="77">
        <f t="shared" si="96"/>
        <v>-6072</v>
      </c>
      <c r="U85" s="77">
        <f t="shared" si="97"/>
        <v>-6841</v>
      </c>
      <c r="V85" s="77">
        <f t="shared" si="98"/>
        <v>-5048.8</v>
      </c>
      <c r="W85" s="77"/>
      <c r="X85" s="166">
        <f t="shared" si="90"/>
        <v>-5987.2666666666664</v>
      </c>
      <c r="Y85" s="167">
        <f t="shared" si="91"/>
        <v>-5048.8</v>
      </c>
      <c r="Z85" s="167">
        <f t="shared" si="92"/>
        <v>-6841</v>
      </c>
      <c r="AC85" s="139" t="s">
        <v>13</v>
      </c>
      <c r="AD85" s="77">
        <f t="shared" si="100"/>
        <v>6072</v>
      </c>
      <c r="AE85" s="77">
        <f t="shared" si="93"/>
        <v>6841</v>
      </c>
      <c r="AF85" s="77">
        <f t="shared" si="93"/>
        <v>5048.8</v>
      </c>
      <c r="AG85" s="77"/>
      <c r="AH85" s="166">
        <f t="shared" si="94"/>
        <v>5987.2666666666664</v>
      </c>
    </row>
    <row r="86" spans="1:34" ht="16.5" thickTop="1" thickBot="1" x14ac:dyDescent="0.3">
      <c r="A86" s="128" t="s">
        <v>0</v>
      </c>
      <c r="B86" s="137">
        <f t="shared" ref="B86:D86" si="101">SUM(B74:B85)</f>
        <v>183</v>
      </c>
      <c r="C86" s="137">
        <f t="shared" si="101"/>
        <v>0</v>
      </c>
      <c r="D86" s="137">
        <f t="shared" si="101"/>
        <v>22107</v>
      </c>
      <c r="E86" s="137">
        <f>SUM(E74:E85)</f>
        <v>18990</v>
      </c>
      <c r="J86" s="128" t="s">
        <v>0</v>
      </c>
      <c r="K86" s="129">
        <f t="shared" ref="K86:M86" si="102">SUM(K74:K85)</f>
        <v>109913</v>
      </c>
      <c r="L86" s="129">
        <f t="shared" si="102"/>
        <v>126455</v>
      </c>
      <c r="M86" s="129">
        <f t="shared" si="102"/>
        <v>145751</v>
      </c>
      <c r="N86" s="129">
        <f>SUM(N74:N85)</f>
        <v>157081</v>
      </c>
      <c r="S86" s="169" t="s">
        <v>0</v>
      </c>
      <c r="T86" s="170">
        <f>SUM(T74:T85)</f>
        <v>-108609</v>
      </c>
      <c r="U86" s="170">
        <f>SUM(U74:U85)</f>
        <v>-126455</v>
      </c>
      <c r="V86" s="170">
        <f>SUM(V74:V85)</f>
        <v>-129617.32000000002</v>
      </c>
      <c r="W86" s="170">
        <f>SUM(W74:W85)</f>
        <v>-142269.19999999998</v>
      </c>
      <c r="X86" s="148"/>
      <c r="Y86" s="148"/>
      <c r="Z86" s="148"/>
      <c r="AC86" s="138" t="s">
        <v>0</v>
      </c>
      <c r="AD86" s="170">
        <f>SUM(AD74:AD85)</f>
        <v>108609</v>
      </c>
      <c r="AE86" s="170">
        <f>SUM(AE74:AE85)</f>
        <v>126455</v>
      </c>
      <c r="AF86" s="170">
        <f>SUM(AF74:AF85)</f>
        <v>129617.32000000002</v>
      </c>
      <c r="AG86" s="170">
        <f>SUM(AG74:AG85)</f>
        <v>142269.19999999998</v>
      </c>
      <c r="AH86" s="148"/>
    </row>
    <row r="87" spans="1:34" ht="15.75" thickTop="1" x14ac:dyDescent="0.25">
      <c r="A87" s="136" t="s">
        <v>14</v>
      </c>
      <c r="B87" s="136"/>
      <c r="C87" s="136"/>
      <c r="D87" s="136"/>
      <c r="E87" s="136"/>
      <c r="J87" s="136" t="s">
        <v>14</v>
      </c>
      <c r="K87" s="136"/>
      <c r="L87" s="136"/>
      <c r="M87" s="136"/>
      <c r="N87" s="136"/>
      <c r="O87" s="136"/>
      <c r="P87" s="136"/>
      <c r="Q87" s="136"/>
    </row>
    <row r="88" spans="1:34" ht="15.75" thickBot="1" x14ac:dyDescent="0.3"/>
    <row r="89" spans="1:34" ht="17.25" thickTop="1" thickBot="1" x14ac:dyDescent="0.3">
      <c r="A89" s="140" t="s">
        <v>113</v>
      </c>
      <c r="B89" s="141"/>
      <c r="C89" s="141"/>
      <c r="D89" s="141"/>
      <c r="E89" s="141"/>
      <c r="J89" s="140" t="s">
        <v>212</v>
      </c>
      <c r="K89" s="141"/>
      <c r="L89" s="141"/>
      <c r="M89" s="141"/>
      <c r="N89" s="141"/>
    </row>
    <row r="90" spans="1:34" ht="16.5" thickTop="1" x14ac:dyDescent="0.25">
      <c r="A90" s="124"/>
      <c r="B90" s="125">
        <v>2014</v>
      </c>
      <c r="C90" s="125">
        <v>2015</v>
      </c>
      <c r="D90" s="125">
        <v>2016</v>
      </c>
      <c r="E90" s="125">
        <v>2017</v>
      </c>
      <c r="J90" s="124"/>
      <c r="K90" s="125">
        <v>2014</v>
      </c>
      <c r="L90" s="125">
        <v>2015</v>
      </c>
      <c r="M90" s="125">
        <v>2016</v>
      </c>
      <c r="N90" s="125">
        <v>2017</v>
      </c>
    </row>
    <row r="91" spans="1:34" x14ac:dyDescent="0.25">
      <c r="A91" s="119" t="s">
        <v>2</v>
      </c>
      <c r="B91" s="133">
        <f>K91*Générale!$B$4</f>
        <v>1713</v>
      </c>
      <c r="C91" s="133">
        <f>L91*Générale!$B$4</f>
        <v>2943</v>
      </c>
      <c r="D91" s="133">
        <f>M91*Générale!$B$4</f>
        <v>2235</v>
      </c>
      <c r="E91" s="133">
        <f>N91*Générale!$B$4</f>
        <v>3102</v>
      </c>
      <c r="J91" s="119" t="s">
        <v>2</v>
      </c>
      <c r="K91" s="133">
        <v>571</v>
      </c>
      <c r="L91" s="133">
        <v>981</v>
      </c>
      <c r="M91" s="133">
        <v>745</v>
      </c>
      <c r="N91" s="188">
        <v>1034</v>
      </c>
    </row>
    <row r="92" spans="1:34" x14ac:dyDescent="0.25">
      <c r="A92" s="119" t="s">
        <v>3</v>
      </c>
      <c r="B92" s="133">
        <f>K92*Générale!$B$4</f>
        <v>3384</v>
      </c>
      <c r="C92" s="133">
        <f>L92*Générale!$B$4</f>
        <v>3087</v>
      </c>
      <c r="D92" s="133">
        <f>M92*Générale!$B$4</f>
        <v>3450</v>
      </c>
      <c r="E92" s="133">
        <f>N92*Générale!$B$4</f>
        <v>3594</v>
      </c>
      <c r="J92" s="119" t="s">
        <v>3</v>
      </c>
      <c r="K92" s="133">
        <v>1128</v>
      </c>
      <c r="L92" s="133">
        <v>1029</v>
      </c>
      <c r="M92" s="133">
        <v>1150</v>
      </c>
      <c r="N92" s="188">
        <v>1198</v>
      </c>
    </row>
    <row r="93" spans="1:34" x14ac:dyDescent="0.25">
      <c r="A93" s="119" t="s">
        <v>4</v>
      </c>
      <c r="B93" s="133">
        <f>K93*Générale!$B$4</f>
        <v>4644</v>
      </c>
      <c r="C93" s="133">
        <f>L93*Générale!$B$4</f>
        <v>3834</v>
      </c>
      <c r="D93" s="133">
        <f>M93*Générale!$B$4</f>
        <v>3696</v>
      </c>
      <c r="E93" s="133">
        <f>N93*Générale!$B$4</f>
        <v>3591</v>
      </c>
      <c r="J93" s="119" t="s">
        <v>4</v>
      </c>
      <c r="K93" s="133">
        <v>1548</v>
      </c>
      <c r="L93" s="133">
        <v>1278</v>
      </c>
      <c r="M93" s="133">
        <v>1232</v>
      </c>
      <c r="N93" s="188">
        <v>1197</v>
      </c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4" x14ac:dyDescent="0.25">
      <c r="A94" s="119" t="s">
        <v>5</v>
      </c>
      <c r="B94" s="133">
        <f>K94*Générale!$B$4</f>
        <v>6393</v>
      </c>
      <c r="C94" s="133">
        <f>L94*Générale!$B$4</f>
        <v>6399</v>
      </c>
      <c r="D94" s="133">
        <f>M94*Générale!$B$4</f>
        <v>5775</v>
      </c>
      <c r="E94" s="133">
        <f>N94*Générale!$B$4</f>
        <v>7044</v>
      </c>
      <c r="J94" s="119" t="s">
        <v>5</v>
      </c>
      <c r="K94" s="133">
        <v>2131</v>
      </c>
      <c r="L94" s="133">
        <v>2133</v>
      </c>
      <c r="M94" s="133">
        <v>1925</v>
      </c>
      <c r="N94" s="188">
        <v>2348</v>
      </c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4" x14ac:dyDescent="0.25">
      <c r="A95" s="119" t="s">
        <v>6</v>
      </c>
      <c r="B95" s="133">
        <f>K95*Générale!$B$4</f>
        <v>10083</v>
      </c>
      <c r="C95" s="133">
        <f>L95*Générale!$B$4</f>
        <v>8544</v>
      </c>
      <c r="D95" s="133">
        <f>M95*Générale!$B$4</f>
        <v>8178</v>
      </c>
      <c r="E95" s="133">
        <f>N95*Générale!$B$4</f>
        <v>7470</v>
      </c>
      <c r="J95" s="119" t="s">
        <v>6</v>
      </c>
      <c r="K95" s="133">
        <v>3361</v>
      </c>
      <c r="L95" s="133">
        <v>2848</v>
      </c>
      <c r="M95" s="133">
        <v>2726</v>
      </c>
      <c r="N95" s="188">
        <v>2490</v>
      </c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4" x14ac:dyDescent="0.25">
      <c r="A96" s="119" t="s">
        <v>7</v>
      </c>
      <c r="B96" s="133">
        <f>K96*Générale!$B$4</f>
        <v>10089</v>
      </c>
      <c r="C96" s="133">
        <f>L96*Générale!$B$4</f>
        <v>9876</v>
      </c>
      <c r="D96" s="133">
        <f>M96*Générale!$B$4</f>
        <v>10746</v>
      </c>
      <c r="E96" s="133">
        <f>N96*Générale!$B$4</f>
        <v>10689</v>
      </c>
      <c r="J96" s="119" t="s">
        <v>7</v>
      </c>
      <c r="K96" s="133">
        <v>3363</v>
      </c>
      <c r="L96" s="133">
        <v>3292</v>
      </c>
      <c r="M96" s="133">
        <v>3582</v>
      </c>
      <c r="N96" s="188">
        <v>3563</v>
      </c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x14ac:dyDescent="0.25">
      <c r="A97" s="119" t="s">
        <v>8</v>
      </c>
      <c r="B97" s="133">
        <f>K97*Générale!$B$4</f>
        <v>10887</v>
      </c>
      <c r="C97" s="133">
        <f>L97*Générale!$B$4</f>
        <v>14358</v>
      </c>
      <c r="D97" s="133">
        <f>M97*Générale!$B$4</f>
        <v>15585</v>
      </c>
      <c r="E97" s="133">
        <f>N97*Générale!$B$4</f>
        <v>17274</v>
      </c>
      <c r="J97" s="119" t="s">
        <v>8</v>
      </c>
      <c r="K97" s="133">
        <v>3629</v>
      </c>
      <c r="L97" s="133">
        <v>4786</v>
      </c>
      <c r="M97" s="133">
        <v>5195</v>
      </c>
      <c r="N97" s="188">
        <v>5758</v>
      </c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x14ac:dyDescent="0.25">
      <c r="A98" s="119" t="s">
        <v>9</v>
      </c>
      <c r="B98" s="133">
        <f>K98*Générale!$B$4</f>
        <v>19428</v>
      </c>
      <c r="C98" s="133">
        <f>L98*Générale!$B$4</f>
        <v>18636</v>
      </c>
      <c r="D98" s="133">
        <f>M98*Générale!$B$4</f>
        <v>18396</v>
      </c>
      <c r="E98" s="133">
        <f>N98*Générale!$B$4</f>
        <v>21150</v>
      </c>
      <c r="J98" s="119" t="s">
        <v>9</v>
      </c>
      <c r="K98" s="133">
        <v>6476</v>
      </c>
      <c r="L98" s="133">
        <v>6212</v>
      </c>
      <c r="M98" s="133">
        <v>6132</v>
      </c>
      <c r="N98" s="188">
        <v>7050</v>
      </c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1:31" x14ac:dyDescent="0.25">
      <c r="A99" s="119" t="s">
        <v>10</v>
      </c>
      <c r="B99" s="133">
        <f>K99*Générale!$B$4</f>
        <v>11961</v>
      </c>
      <c r="C99" s="133">
        <f>L99*Générale!$B$4</f>
        <v>11358</v>
      </c>
      <c r="D99" s="133">
        <f>M99*Générale!$B$4</f>
        <v>11739</v>
      </c>
      <c r="E99" s="133">
        <f>N99*Générale!$B$4</f>
        <v>11415</v>
      </c>
      <c r="J99" s="119" t="s">
        <v>10</v>
      </c>
      <c r="K99" s="133">
        <v>3987</v>
      </c>
      <c r="L99" s="133">
        <v>3786</v>
      </c>
      <c r="M99" s="133">
        <v>3913</v>
      </c>
      <c r="N99" s="188">
        <v>3805</v>
      </c>
    </row>
    <row r="100" spans="1:31" x14ac:dyDescent="0.25">
      <c r="A100" s="119" t="s">
        <v>11</v>
      </c>
      <c r="B100" s="133">
        <f>K100*Générale!$B$4</f>
        <v>7725</v>
      </c>
      <c r="C100" s="133">
        <f>L100*Générale!$B$4</f>
        <v>8070</v>
      </c>
      <c r="D100" s="133">
        <f>M100*Générale!$B$4</f>
        <v>8823</v>
      </c>
      <c r="E100" s="133">
        <f>N100*Générale!$B$4</f>
        <v>8433</v>
      </c>
      <c r="J100" s="119" t="s">
        <v>11</v>
      </c>
      <c r="K100" s="133">
        <v>2575</v>
      </c>
      <c r="L100" s="133">
        <v>2690</v>
      </c>
      <c r="M100" s="133">
        <v>2941</v>
      </c>
      <c r="N100" s="188">
        <v>2811</v>
      </c>
    </row>
    <row r="101" spans="1:31" x14ac:dyDescent="0.25">
      <c r="A101" s="119" t="s">
        <v>12</v>
      </c>
      <c r="B101" s="133">
        <f>K101*Générale!$B$4</f>
        <v>3603</v>
      </c>
      <c r="C101" s="133">
        <f>L101*Générale!$B$4</f>
        <v>3348</v>
      </c>
      <c r="D101" s="133">
        <f>M101*Générale!$B$4</f>
        <v>5133</v>
      </c>
      <c r="E101" s="133">
        <f>N101*Générale!$B$4</f>
        <v>0</v>
      </c>
      <c r="J101" s="119" t="s">
        <v>12</v>
      </c>
      <c r="K101" s="133">
        <v>1201</v>
      </c>
      <c r="L101" s="133">
        <v>1116</v>
      </c>
      <c r="M101" s="133">
        <v>1711</v>
      </c>
      <c r="N101" s="133"/>
    </row>
    <row r="102" spans="1:31" ht="15.75" thickBot="1" x14ac:dyDescent="0.3">
      <c r="A102" s="119" t="s">
        <v>13</v>
      </c>
      <c r="B102" s="133">
        <f>K102*Générale!$B$4</f>
        <v>3825</v>
      </c>
      <c r="C102" s="133">
        <f>L102*Générale!$B$4</f>
        <v>3960</v>
      </c>
      <c r="D102" s="133">
        <f>M102*Générale!$B$4</f>
        <v>4974</v>
      </c>
      <c r="E102" s="133">
        <f>N102*Générale!$B$4</f>
        <v>0</v>
      </c>
      <c r="J102" s="119" t="s">
        <v>13</v>
      </c>
      <c r="K102" s="133">
        <v>1275</v>
      </c>
      <c r="L102" s="133">
        <v>1320</v>
      </c>
      <c r="M102" s="143">
        <v>1658</v>
      </c>
      <c r="N102" s="143"/>
    </row>
    <row r="103" spans="1:31" ht="16.5" thickTop="1" thickBot="1" x14ac:dyDescent="0.3">
      <c r="A103" s="128" t="s">
        <v>0</v>
      </c>
      <c r="B103" s="137">
        <f>SUM(B91:B102)</f>
        <v>93735</v>
      </c>
      <c r="C103" s="137">
        <f t="shared" ref="C103:D103" si="103">SUM(C91:C102)</f>
        <v>94413</v>
      </c>
      <c r="D103" s="137">
        <f t="shared" si="103"/>
        <v>98730</v>
      </c>
      <c r="E103" s="137">
        <f>SUM(E91:E102)</f>
        <v>93762</v>
      </c>
      <c r="J103" s="128" t="s">
        <v>0</v>
      </c>
      <c r="K103" s="129">
        <f>SUM(K91:K102)</f>
        <v>31245</v>
      </c>
      <c r="L103" s="129">
        <f>SUM(L91:L102)</f>
        <v>31471</v>
      </c>
      <c r="M103" s="129">
        <f>SUM(M91:M102)</f>
        <v>32910</v>
      </c>
      <c r="N103" s="129">
        <f>SUM(N91:N102)</f>
        <v>31254</v>
      </c>
    </row>
    <row r="104" spans="1:31" ht="16.5" thickTop="1" thickBot="1" x14ac:dyDescent="0.3">
      <c r="A104" s="136" t="s">
        <v>14</v>
      </c>
      <c r="B104" s="136"/>
      <c r="C104" s="136"/>
      <c r="D104" s="136"/>
      <c r="E104" s="136"/>
    </row>
    <row r="105" spans="1:31" ht="17.25" thickTop="1" thickBot="1" x14ac:dyDescent="0.3">
      <c r="J105" s="140" t="s">
        <v>205</v>
      </c>
      <c r="K105" s="141"/>
      <c r="L105" s="141"/>
      <c r="M105" s="141"/>
      <c r="N105" s="141"/>
    </row>
    <row r="106" spans="1:31" ht="17.25" thickTop="1" thickBot="1" x14ac:dyDescent="0.3">
      <c r="A106" s="140" t="s">
        <v>206</v>
      </c>
      <c r="B106" s="142"/>
      <c r="J106" s="124"/>
      <c r="K106" s="125">
        <v>2014</v>
      </c>
      <c r="L106" s="125">
        <v>2015</v>
      </c>
      <c r="M106" s="125">
        <v>2016</v>
      </c>
      <c r="N106" s="125">
        <v>2017</v>
      </c>
    </row>
    <row r="107" spans="1:31" ht="16.5" thickTop="1" x14ac:dyDescent="0.25">
      <c r="A107" s="124"/>
      <c r="B107" s="125">
        <v>2014</v>
      </c>
      <c r="C107" s="125">
        <v>2015</v>
      </c>
      <c r="D107" s="125">
        <v>2016</v>
      </c>
      <c r="E107" s="125">
        <v>2017</v>
      </c>
      <c r="F107" s="126" t="s">
        <v>1</v>
      </c>
      <c r="G107" s="117" t="s">
        <v>18</v>
      </c>
      <c r="H107" s="117" t="s">
        <v>17</v>
      </c>
      <c r="J107" s="119" t="s">
        <v>2</v>
      </c>
      <c r="K107" s="133">
        <v>0</v>
      </c>
      <c r="L107" s="133">
        <v>0</v>
      </c>
      <c r="M107" s="133">
        <v>0</v>
      </c>
      <c r="N107" s="187">
        <v>330</v>
      </c>
      <c r="O107"/>
      <c r="P107"/>
      <c r="Q107"/>
      <c r="R107"/>
      <c r="S107"/>
      <c r="T107"/>
      <c r="U107"/>
      <c r="V107"/>
      <c r="W107"/>
      <c r="X107"/>
      <c r="Y107"/>
    </row>
    <row r="108" spans="1:31" x14ac:dyDescent="0.25">
      <c r="A108" s="119" t="s">
        <v>2</v>
      </c>
      <c r="B108" s="134">
        <f>'PORTO VECCHIO 2014'!BU4+'PORTO VECCHIO 2014'!BU21</f>
        <v>0</v>
      </c>
      <c r="C108" s="134">
        <v>0</v>
      </c>
      <c r="D108" s="134">
        <f>'PORTO VECCHIO 2016'!BU4+'PORTO VECCHIO 2016'!BU4</f>
        <v>0</v>
      </c>
      <c r="E108" s="134">
        <f>'PORTO VECCHIO 2017'!BU4+'PORTO VECCHIO 2017'!BU4</f>
        <v>0</v>
      </c>
      <c r="F108" s="127">
        <f t="shared" ref="F108:F119" si="104">AVERAGE(B108:E108)</f>
        <v>0</v>
      </c>
      <c r="G108" s="127">
        <f t="shared" ref="G108:G119" si="105">STDEVA(B108:E108)</f>
        <v>0</v>
      </c>
      <c r="H108" s="127">
        <f t="shared" ref="H108:H119" si="106">STDEVA(B108:E108)</f>
        <v>0</v>
      </c>
      <c r="J108" s="119" t="s">
        <v>3</v>
      </c>
      <c r="K108" s="133">
        <v>61</v>
      </c>
      <c r="L108" s="133">
        <v>0</v>
      </c>
      <c r="M108" s="133">
        <v>0</v>
      </c>
      <c r="N108" s="187">
        <v>446</v>
      </c>
    </row>
    <row r="109" spans="1:31" x14ac:dyDescent="0.25">
      <c r="A109" s="119" t="s">
        <v>3</v>
      </c>
      <c r="B109" s="134">
        <f>'PORTO VECCHIO 2014'!BU5+'PORTO VECCHIO 2014'!BU22</f>
        <v>798.56</v>
      </c>
      <c r="C109" s="134">
        <v>0</v>
      </c>
      <c r="D109" s="134">
        <f>'PORTO VECCHIO 2016'!BU5+'PORTO VECCHIO 2016'!BU5</f>
        <v>0</v>
      </c>
      <c r="E109" s="134">
        <f>'PORTO VECCHIO 2017'!BU5+'PORTO VECCHIO 2017'!BU5</f>
        <v>0</v>
      </c>
      <c r="F109" s="127">
        <f t="shared" si="104"/>
        <v>199.64</v>
      </c>
      <c r="G109" s="127">
        <f t="shared" si="105"/>
        <v>399.28</v>
      </c>
      <c r="H109" s="127">
        <f t="shared" si="106"/>
        <v>399.28</v>
      </c>
      <c r="J109" s="119" t="s">
        <v>4</v>
      </c>
      <c r="K109" s="133">
        <v>0</v>
      </c>
      <c r="L109" s="133">
        <v>0</v>
      </c>
      <c r="M109" s="133">
        <v>0</v>
      </c>
      <c r="N109" s="187">
        <v>592</v>
      </c>
    </row>
    <row r="110" spans="1:31" x14ac:dyDescent="0.25">
      <c r="A110" s="119" t="s">
        <v>4</v>
      </c>
      <c r="B110" s="134">
        <f>'PORTO VECCHIO 2014'!BU6+'PORTO VECCHIO 2014'!BU23</f>
        <v>0</v>
      </c>
      <c r="C110" s="134">
        <v>0</v>
      </c>
      <c r="D110" s="134">
        <f>'PORTO VECCHIO 2016'!BU6+'PORTO VECCHIO 2016'!BU6</f>
        <v>0</v>
      </c>
      <c r="E110" s="134">
        <f>'PORTO VECCHIO 2017'!BU6+'PORTO VECCHIO 2017'!BU6</f>
        <v>0</v>
      </c>
      <c r="F110" s="127">
        <f t="shared" si="104"/>
        <v>0</v>
      </c>
      <c r="G110" s="127">
        <f t="shared" si="105"/>
        <v>0</v>
      </c>
      <c r="H110" s="127">
        <f t="shared" si="106"/>
        <v>0</v>
      </c>
      <c r="J110" s="119" t="s">
        <v>5</v>
      </c>
      <c r="K110" s="133">
        <v>0</v>
      </c>
      <c r="L110" s="133">
        <v>0</v>
      </c>
      <c r="M110" s="133">
        <v>0</v>
      </c>
      <c r="N110" s="187">
        <v>324</v>
      </c>
    </row>
    <row r="111" spans="1:31" x14ac:dyDescent="0.25">
      <c r="A111" s="119" t="s">
        <v>5</v>
      </c>
      <c r="B111" s="134">
        <f>'PORTO VECCHIO 2014'!BU7+'PORTO VECCHIO 2014'!BU24</f>
        <v>0</v>
      </c>
      <c r="C111" s="134">
        <v>0</v>
      </c>
      <c r="D111" s="134">
        <f>'PORTO VECCHIO 2016'!BU7+'PORTO VECCHIO 2016'!BU7</f>
        <v>0</v>
      </c>
      <c r="E111" s="134">
        <f>'PORTO VECCHIO 2017'!BU7+'PORTO VECCHIO 2017'!BU7</f>
        <v>5818.079999999999</v>
      </c>
      <c r="F111" s="127">
        <f t="shared" si="104"/>
        <v>1454.5199999999998</v>
      </c>
      <c r="G111" s="127">
        <f t="shared" si="105"/>
        <v>2909.0399999999995</v>
      </c>
      <c r="H111" s="127">
        <f t="shared" si="106"/>
        <v>2909.0399999999995</v>
      </c>
      <c r="J111" s="119" t="s">
        <v>6</v>
      </c>
      <c r="K111" s="133">
        <v>0</v>
      </c>
      <c r="L111" s="133">
        <v>0</v>
      </c>
      <c r="M111" s="133">
        <v>0</v>
      </c>
      <c r="N111" s="187">
        <v>503</v>
      </c>
    </row>
    <row r="112" spans="1:31" x14ac:dyDescent="0.25">
      <c r="A112" s="119" t="s">
        <v>6</v>
      </c>
      <c r="B112" s="134">
        <f>'PORTO VECCHIO 2014'!BU8+'PORTO VECCHIO 2014'!BU25</f>
        <v>0</v>
      </c>
      <c r="C112" s="134">
        <v>0</v>
      </c>
      <c r="D112" s="134">
        <f>'PORTO VECCHIO 2016'!BU8+'PORTO VECCHIO 2016'!BU8</f>
        <v>0</v>
      </c>
      <c r="E112" s="134">
        <f>'PORTO VECCHIO 2017'!BU8+'PORTO VECCHIO 2017'!BU8</f>
        <v>3878.72</v>
      </c>
      <c r="F112" s="127">
        <f t="shared" si="104"/>
        <v>969.68</v>
      </c>
      <c r="G112" s="127">
        <f t="shared" si="105"/>
        <v>1939.36</v>
      </c>
      <c r="H112" s="127">
        <f t="shared" si="106"/>
        <v>1939.36</v>
      </c>
      <c r="J112" s="119" t="s">
        <v>7</v>
      </c>
      <c r="K112" s="133">
        <v>0</v>
      </c>
      <c r="L112" s="133">
        <v>0</v>
      </c>
      <c r="M112" s="133">
        <v>619</v>
      </c>
      <c r="N112" s="187">
        <v>649</v>
      </c>
    </row>
    <row r="113" spans="1:14" x14ac:dyDescent="0.25">
      <c r="A113" s="119" t="s">
        <v>7</v>
      </c>
      <c r="B113" s="134">
        <f>'PORTO VECCHIO 2014'!BU9+'PORTO VECCHIO 2014'!BU26</f>
        <v>0</v>
      </c>
      <c r="C113" s="134">
        <v>0</v>
      </c>
      <c r="D113" s="134">
        <f>'PORTO VECCHIO 2016'!BU9+'PORTO VECCHIO 2016'!BU9</f>
        <v>5818.079999999999</v>
      </c>
      <c r="E113" s="134">
        <f>'PORTO VECCHIO 2017'!BU9+'PORTO VECCHIO 2017'!BU9</f>
        <v>3878.72</v>
      </c>
      <c r="F113" s="127">
        <f t="shared" si="104"/>
        <v>2424.1999999999998</v>
      </c>
      <c r="G113" s="127">
        <f t="shared" si="105"/>
        <v>2909.0399999999995</v>
      </c>
      <c r="H113" s="127">
        <f t="shared" si="106"/>
        <v>2909.0399999999995</v>
      </c>
      <c r="J113" s="119" t="s">
        <v>8</v>
      </c>
      <c r="K113" s="133">
        <v>0</v>
      </c>
      <c r="L113" s="133">
        <v>0</v>
      </c>
      <c r="M113" s="133">
        <v>302</v>
      </c>
      <c r="N113" s="187">
        <v>1384</v>
      </c>
    </row>
    <row r="114" spans="1:14" x14ac:dyDescent="0.25">
      <c r="A114" s="119" t="s">
        <v>8</v>
      </c>
      <c r="B114" s="134">
        <f>'PORTO VECCHIO 2014'!BU10+'PORTO VECCHIO 2014'!BU27</f>
        <v>0</v>
      </c>
      <c r="C114" s="134">
        <v>0</v>
      </c>
      <c r="D114" s="134">
        <f>'PORTO VECCHIO 2016'!BU10+'PORTO VECCHIO 2016'!BU10</f>
        <v>0</v>
      </c>
      <c r="E114" s="134">
        <f>'PORTO VECCHIO 2017'!BU10+'PORTO VECCHIO 2017'!BU10</f>
        <v>7757.44</v>
      </c>
      <c r="F114" s="127">
        <f t="shared" si="104"/>
        <v>1939.36</v>
      </c>
      <c r="G114" s="127">
        <f t="shared" si="105"/>
        <v>3878.72</v>
      </c>
      <c r="H114" s="127">
        <f t="shared" si="106"/>
        <v>3878.72</v>
      </c>
      <c r="J114" s="119" t="s">
        <v>9</v>
      </c>
      <c r="K114" s="133">
        <v>0</v>
      </c>
      <c r="L114" s="133">
        <v>0</v>
      </c>
      <c r="M114" s="133">
        <v>160</v>
      </c>
      <c r="N114" s="187">
        <v>0</v>
      </c>
    </row>
    <row r="115" spans="1:14" x14ac:dyDescent="0.25">
      <c r="A115" s="119" t="s">
        <v>9</v>
      </c>
      <c r="B115" s="134">
        <f>'PORTO VECCHIO 2014'!BU11+'PORTO VECCHIO 2014'!BU28</f>
        <v>0</v>
      </c>
      <c r="C115" s="134">
        <v>0</v>
      </c>
      <c r="D115" s="134">
        <f>'PORTO VECCHIO 2016'!BU11+'PORTO VECCHIO 2016'!BU11</f>
        <v>0</v>
      </c>
      <c r="E115" s="134">
        <f>'PORTO VECCHIO 2017'!BU11+'PORTO VECCHIO 2017'!BU11</f>
        <v>0</v>
      </c>
      <c r="F115" s="127">
        <f t="shared" si="104"/>
        <v>0</v>
      </c>
      <c r="G115" s="127">
        <f t="shared" si="105"/>
        <v>0</v>
      </c>
      <c r="H115" s="127">
        <f t="shared" si="106"/>
        <v>0</v>
      </c>
      <c r="J115" s="119" t="s">
        <v>10</v>
      </c>
      <c r="K115" s="133">
        <v>0</v>
      </c>
      <c r="L115" s="133">
        <v>0</v>
      </c>
      <c r="M115" s="133">
        <v>625</v>
      </c>
      <c r="N115" s="187">
        <v>1370</v>
      </c>
    </row>
    <row r="116" spans="1:14" x14ac:dyDescent="0.25">
      <c r="A116" s="119" t="s">
        <v>10</v>
      </c>
      <c r="B116" s="134">
        <f>'PORTO VECCHIO 2014'!BU12+'PORTO VECCHIO 2014'!BU29</f>
        <v>0</v>
      </c>
      <c r="C116" s="134">
        <v>0</v>
      </c>
      <c r="D116" s="134">
        <f>'PORTO VECCHIO 2016'!BU12+'PORTO VECCHIO 2016'!BU12</f>
        <v>1939.36</v>
      </c>
      <c r="E116" s="134">
        <f>'PORTO VECCHIO 2017'!BU12+'PORTO VECCHIO 2017'!BU12</f>
        <v>5818.079999999999</v>
      </c>
      <c r="F116" s="127">
        <f t="shared" si="104"/>
        <v>1939.3599999999997</v>
      </c>
      <c r="G116" s="127">
        <f t="shared" si="105"/>
        <v>2742.6692143238856</v>
      </c>
      <c r="H116" s="127">
        <f t="shared" si="106"/>
        <v>2742.6692143238856</v>
      </c>
      <c r="J116" s="119" t="s">
        <v>11</v>
      </c>
      <c r="K116" s="133">
        <v>0</v>
      </c>
      <c r="L116" s="133">
        <v>0</v>
      </c>
      <c r="M116" s="133">
        <v>3706</v>
      </c>
      <c r="N116" s="187">
        <v>732</v>
      </c>
    </row>
    <row r="117" spans="1:14" x14ac:dyDescent="0.25">
      <c r="A117" s="119" t="s">
        <v>11</v>
      </c>
      <c r="B117" s="134">
        <f>'PORTO VECCHIO 2014'!BU13+'PORTO VECCHIO 2014'!BU30</f>
        <v>0</v>
      </c>
      <c r="C117" s="134">
        <v>0</v>
      </c>
      <c r="D117" s="134">
        <f>'PORTO VECCHIO 2016'!BU13+'PORTO VECCHIO 2016'!BU13</f>
        <v>19393.599999999999</v>
      </c>
      <c r="E117" s="134">
        <f>'PORTO VECCHIO 2017'!BU13+'PORTO VECCHIO 2017'!BU13</f>
        <v>3878.72</v>
      </c>
      <c r="F117" s="127">
        <f t="shared" si="104"/>
        <v>5818.08</v>
      </c>
      <c r="G117" s="127">
        <f t="shared" si="105"/>
        <v>9233.2004247859059</v>
      </c>
      <c r="H117" s="127">
        <f t="shared" si="106"/>
        <v>9233.2004247859059</v>
      </c>
      <c r="J117" s="119" t="s">
        <v>12</v>
      </c>
      <c r="K117" s="133">
        <v>0</v>
      </c>
      <c r="L117" s="133">
        <v>0</v>
      </c>
      <c r="M117" s="133">
        <v>494</v>
      </c>
      <c r="N117" s="134"/>
    </row>
    <row r="118" spans="1:14" ht="15.75" thickBot="1" x14ac:dyDescent="0.3">
      <c r="A118" s="119" t="s">
        <v>12</v>
      </c>
      <c r="B118" s="134">
        <f>'PORTO VECCHIO 2014'!BU14+'PORTO VECCHIO 2014'!BU31</f>
        <v>0</v>
      </c>
      <c r="C118" s="134">
        <v>0</v>
      </c>
      <c r="D118" s="134">
        <f>'PORTO VECCHIO 2016'!BU14+'PORTO VECCHIO 2016'!BU14</f>
        <v>0</v>
      </c>
      <c r="E118" s="134">
        <f>'PORTO VECCHIO 2017'!BU14+'PORTO VECCHIO 2017'!BU14</f>
        <v>0</v>
      </c>
      <c r="F118" s="127">
        <f t="shared" si="104"/>
        <v>0</v>
      </c>
      <c r="G118" s="127">
        <f t="shared" si="105"/>
        <v>0</v>
      </c>
      <c r="H118" s="127">
        <f t="shared" si="106"/>
        <v>0</v>
      </c>
      <c r="J118" s="119" t="s">
        <v>13</v>
      </c>
      <c r="K118" s="133">
        <v>0</v>
      </c>
      <c r="L118" s="133">
        <v>0</v>
      </c>
      <c r="M118" s="143">
        <v>1463</v>
      </c>
      <c r="N118" s="44"/>
    </row>
    <row r="119" spans="1:14" ht="16.5" thickTop="1" thickBot="1" x14ac:dyDescent="0.3">
      <c r="A119" s="119" t="s">
        <v>13</v>
      </c>
      <c r="B119" s="134">
        <f>'PORTO VECCHIO 2014'!BU15+'PORTO VECCHIO 2014'!BU32</f>
        <v>0</v>
      </c>
      <c r="C119" s="134">
        <v>0</v>
      </c>
      <c r="D119" s="134">
        <f>'PORTO VECCHIO 2016'!BU15+'PORTO VECCHIO 2016'!BU15</f>
        <v>4791.3599999999988</v>
      </c>
      <c r="E119" s="134">
        <f>'PORTO VECCHIO 2017'!BU15+'PORTO VECCHIO 2017'!BU15</f>
        <v>0</v>
      </c>
      <c r="F119" s="127">
        <f t="shared" si="104"/>
        <v>1197.8399999999997</v>
      </c>
      <c r="G119" s="127">
        <f t="shared" si="105"/>
        <v>2395.6799999999994</v>
      </c>
      <c r="H119" s="127">
        <f t="shared" si="106"/>
        <v>2395.6799999999994</v>
      </c>
      <c r="J119" s="128" t="s">
        <v>0</v>
      </c>
      <c r="K119" s="129">
        <f>SUM(K107:K118)</f>
        <v>61</v>
      </c>
      <c r="L119" s="129">
        <f>SUM(L107:L118)</f>
        <v>0</v>
      </c>
      <c r="M119" s="129">
        <f>SUM(M107:M118)</f>
        <v>7369</v>
      </c>
      <c r="N119" s="129">
        <f>SUM(N107:N118)</f>
        <v>6330</v>
      </c>
    </row>
    <row r="120" spans="1:14" ht="16.5" thickTop="1" thickBot="1" x14ac:dyDescent="0.3">
      <c r="A120" s="128" t="s">
        <v>0</v>
      </c>
      <c r="B120" s="129">
        <f t="shared" ref="B120:D120" si="107">SUM(B108:B119)</f>
        <v>798.56</v>
      </c>
      <c r="C120" s="129">
        <f t="shared" si="107"/>
        <v>0</v>
      </c>
      <c r="D120" s="129">
        <f t="shared" si="107"/>
        <v>31942.399999999994</v>
      </c>
      <c r="E120" s="129">
        <f>SUM(E108:E119)</f>
        <v>31029.759999999998</v>
      </c>
      <c r="F120" s="111"/>
      <c r="G120" s="112"/>
      <c r="H120" s="112"/>
    </row>
    <row r="121" spans="1:14" ht="15.75" thickTop="1" x14ac:dyDescent="0.25">
      <c r="A121" s="136" t="s">
        <v>72</v>
      </c>
      <c r="B121" s="136"/>
      <c r="C121" s="136"/>
      <c r="D121" s="136"/>
      <c r="E121" s="136"/>
      <c r="F121" s="127"/>
    </row>
    <row r="122" spans="1:14" x14ac:dyDescent="0.25">
      <c r="A122" s="130" t="s">
        <v>15</v>
      </c>
      <c r="B122" s="127">
        <f t="shared" ref="B122:E122" si="108">AVERAGE(B108:B110,B117:B119)</f>
        <v>133.09333333333333</v>
      </c>
      <c r="C122" s="127">
        <f t="shared" si="108"/>
        <v>0</v>
      </c>
      <c r="D122" s="127">
        <f t="shared" si="108"/>
        <v>4030.8266666666664</v>
      </c>
      <c r="E122" s="127">
        <f t="shared" si="108"/>
        <v>646.45333333333326</v>
      </c>
      <c r="F122" s="127">
        <f>AVERAGE(B122:D122)</f>
        <v>1387.9733333333334</v>
      </c>
      <c r="G122" s="122"/>
      <c r="H122" s="131"/>
    </row>
    <row r="123" spans="1:14" x14ac:dyDescent="0.25">
      <c r="A123" s="130" t="s">
        <v>16</v>
      </c>
      <c r="B123" s="127">
        <f t="shared" ref="B123:E123" si="109">AVERAGE(B111:B116)</f>
        <v>0</v>
      </c>
      <c r="C123" s="127">
        <f t="shared" si="109"/>
        <v>0</v>
      </c>
      <c r="D123" s="127">
        <f t="shared" si="109"/>
        <v>1292.9066666666665</v>
      </c>
      <c r="E123" s="127">
        <f t="shared" si="109"/>
        <v>4525.1733333333332</v>
      </c>
      <c r="F123" s="127">
        <f>AVERAGE(B123:D123)</f>
        <v>430.96888888888884</v>
      </c>
      <c r="G123" s="122"/>
    </row>
    <row r="124" spans="1:14" ht="15.75" thickBot="1" x14ac:dyDescent="0.3"/>
    <row r="125" spans="1:14" ht="17.25" thickTop="1" thickBot="1" x14ac:dyDescent="0.3">
      <c r="A125" s="140" t="s">
        <v>207</v>
      </c>
      <c r="B125" s="141"/>
      <c r="C125" s="141"/>
      <c r="D125" s="141"/>
      <c r="E125" s="141"/>
      <c r="J125" s="140" t="s">
        <v>208</v>
      </c>
      <c r="K125" s="141"/>
      <c r="L125" s="141"/>
      <c r="M125" s="141"/>
      <c r="N125" s="141"/>
    </row>
    <row r="126" spans="1:14" ht="16.5" thickTop="1" x14ac:dyDescent="0.25">
      <c r="A126" s="124"/>
      <c r="B126" s="125">
        <v>2014</v>
      </c>
      <c r="C126" s="125">
        <v>2015</v>
      </c>
      <c r="D126" s="125">
        <v>2016</v>
      </c>
      <c r="E126" s="125">
        <v>2017</v>
      </c>
      <c r="J126" s="124"/>
      <c r="K126" s="125">
        <v>2014</v>
      </c>
      <c r="L126" s="125">
        <v>2015</v>
      </c>
      <c r="M126" s="125">
        <v>2016</v>
      </c>
      <c r="N126" s="125">
        <v>2017</v>
      </c>
    </row>
    <row r="127" spans="1:14" x14ac:dyDescent="0.25">
      <c r="A127" s="119" t="s">
        <v>2</v>
      </c>
      <c r="B127" s="77">
        <f>K127*Générale!$B$4</f>
        <v>0</v>
      </c>
      <c r="C127" s="77">
        <f>L127*Générale!$B$4</f>
        <v>0</v>
      </c>
      <c r="D127" s="77">
        <f>M127*Générale!$B$4</f>
        <v>0</v>
      </c>
      <c r="E127" s="77">
        <f>N127*Générale!$B$4</f>
        <v>2007</v>
      </c>
      <c r="J127" s="119" t="s">
        <v>2</v>
      </c>
      <c r="K127" s="77">
        <v>0</v>
      </c>
      <c r="L127" s="77"/>
      <c r="M127" s="77"/>
      <c r="N127" s="189">
        <v>669</v>
      </c>
    </row>
    <row r="128" spans="1:14" x14ac:dyDescent="0.25">
      <c r="A128" s="119" t="s">
        <v>3</v>
      </c>
      <c r="B128" s="77">
        <f>K128*Générale!$B$4</f>
        <v>0</v>
      </c>
      <c r="C128" s="77">
        <f>L128*Générale!$B$4</f>
        <v>0</v>
      </c>
      <c r="D128" s="77">
        <f>M128*Générale!$B$4</f>
        <v>0</v>
      </c>
      <c r="E128" s="77">
        <f>N128*Générale!$B$4</f>
        <v>2490</v>
      </c>
      <c r="J128" s="119" t="s">
        <v>3</v>
      </c>
      <c r="K128" s="77">
        <v>0</v>
      </c>
      <c r="L128" s="77"/>
      <c r="M128" s="77"/>
      <c r="N128" s="189">
        <v>830</v>
      </c>
    </row>
    <row r="129" spans="1:29" x14ac:dyDescent="0.25">
      <c r="A129" s="119" t="s">
        <v>4</v>
      </c>
      <c r="B129" s="77">
        <f>K129*Générale!$B$4</f>
        <v>0</v>
      </c>
      <c r="C129" s="77">
        <f>L129*Générale!$B$4</f>
        <v>0</v>
      </c>
      <c r="D129" s="77">
        <f>M129*Générale!$B$4</f>
        <v>0</v>
      </c>
      <c r="E129" s="77">
        <f>N129*Générale!$B$4</f>
        <v>2271</v>
      </c>
      <c r="J129" s="119" t="s">
        <v>4</v>
      </c>
      <c r="K129" s="77">
        <v>0</v>
      </c>
      <c r="L129" s="77"/>
      <c r="M129" s="77"/>
      <c r="N129" s="189">
        <v>757</v>
      </c>
    </row>
    <row r="130" spans="1:29" x14ac:dyDescent="0.25">
      <c r="A130" s="119" t="s">
        <v>5</v>
      </c>
      <c r="B130" s="77">
        <f>K130*Générale!$B$4</f>
        <v>0</v>
      </c>
      <c r="C130" s="77">
        <f>L130*Générale!$B$4</f>
        <v>0</v>
      </c>
      <c r="D130" s="77">
        <f>M130*Générale!$B$4</f>
        <v>0</v>
      </c>
      <c r="E130" s="77">
        <f>N130*Générale!$B$4</f>
        <v>3738</v>
      </c>
      <c r="J130" s="119" t="s">
        <v>5</v>
      </c>
      <c r="K130" s="77">
        <v>0</v>
      </c>
      <c r="L130" s="77"/>
      <c r="M130" s="77"/>
      <c r="N130" s="189">
        <v>1246</v>
      </c>
    </row>
    <row r="131" spans="1:29" x14ac:dyDescent="0.25">
      <c r="A131" s="119" t="s">
        <v>6</v>
      </c>
      <c r="B131" s="77">
        <f>K131*Générale!$B$4</f>
        <v>0</v>
      </c>
      <c r="C131" s="77">
        <f>L131*Générale!$B$4</f>
        <v>0</v>
      </c>
      <c r="D131" s="77">
        <f>M131*Générale!$B$4</f>
        <v>1260</v>
      </c>
      <c r="E131" s="77">
        <f>N131*Générale!$B$4</f>
        <v>2346</v>
      </c>
      <c r="J131" s="119" t="s">
        <v>6</v>
      </c>
      <c r="K131" s="77">
        <v>0</v>
      </c>
      <c r="L131" s="77"/>
      <c r="M131" s="83">
        <v>420</v>
      </c>
      <c r="N131" s="189">
        <v>782</v>
      </c>
    </row>
    <row r="132" spans="1:29" x14ac:dyDescent="0.25">
      <c r="A132" s="119" t="s">
        <v>7</v>
      </c>
      <c r="B132" s="77">
        <f>K132*Générale!$B$4</f>
        <v>0</v>
      </c>
      <c r="C132" s="77">
        <f>L132*Générale!$B$4</f>
        <v>0</v>
      </c>
      <c r="D132" s="77">
        <f>M132*Générale!$B$4</f>
        <v>9123</v>
      </c>
      <c r="E132" s="77">
        <f>N132*Générale!$B$4</f>
        <v>9894</v>
      </c>
      <c r="J132" s="119" t="s">
        <v>7</v>
      </c>
      <c r="K132" s="77">
        <v>0</v>
      </c>
      <c r="L132" s="77"/>
      <c r="M132" s="189">
        <v>3041</v>
      </c>
      <c r="N132" s="189">
        <v>3298</v>
      </c>
    </row>
    <row r="133" spans="1:29" x14ac:dyDescent="0.25">
      <c r="A133" s="119" t="s">
        <v>8</v>
      </c>
      <c r="B133" s="77">
        <f>K133*Générale!$B$4</f>
        <v>0</v>
      </c>
      <c r="C133" s="77">
        <f>L133*Générale!$B$4</f>
        <v>0</v>
      </c>
      <c r="D133" s="77">
        <f>M133*Générale!$B$4</f>
        <v>10278</v>
      </c>
      <c r="E133" s="77">
        <f>N133*Générale!$B$4</f>
        <v>9768</v>
      </c>
      <c r="J133" s="119" t="s">
        <v>8</v>
      </c>
      <c r="K133" s="77">
        <v>0</v>
      </c>
      <c r="L133" s="77"/>
      <c r="M133" s="189">
        <v>3426</v>
      </c>
      <c r="N133" s="189">
        <v>3256</v>
      </c>
    </row>
    <row r="134" spans="1:29" x14ac:dyDescent="0.25">
      <c r="A134" s="119" t="s">
        <v>9</v>
      </c>
      <c r="B134" s="77">
        <f>K134*Générale!$B$4</f>
        <v>0</v>
      </c>
      <c r="C134" s="77">
        <f>L134*Générale!$B$4</f>
        <v>0</v>
      </c>
      <c r="D134" s="77">
        <f>M134*Générale!$B$4</f>
        <v>12615</v>
      </c>
      <c r="E134" s="77">
        <f>N134*Générale!$B$4</f>
        <v>9132</v>
      </c>
      <c r="J134" s="119" t="s">
        <v>9</v>
      </c>
      <c r="K134" s="77">
        <v>0</v>
      </c>
      <c r="L134" s="77"/>
      <c r="M134" s="189">
        <v>4205</v>
      </c>
      <c r="N134" s="189">
        <v>3044</v>
      </c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x14ac:dyDescent="0.25">
      <c r="A135" s="119" t="s">
        <v>10</v>
      </c>
      <c r="B135" s="77">
        <f>K135*Générale!$B$4</f>
        <v>0</v>
      </c>
      <c r="C135" s="77">
        <f>L135*Générale!$B$4</f>
        <v>0</v>
      </c>
      <c r="D135" s="77">
        <f>M135*Générale!$B$4</f>
        <v>5793</v>
      </c>
      <c r="E135" s="77">
        <f>N135*Générale!$B$4</f>
        <v>5199</v>
      </c>
      <c r="J135" s="119" t="s">
        <v>10</v>
      </c>
      <c r="K135" s="77">
        <v>0</v>
      </c>
      <c r="L135" s="77"/>
      <c r="M135" s="189">
        <v>1931</v>
      </c>
      <c r="N135" s="189">
        <v>1733</v>
      </c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x14ac:dyDescent="0.25">
      <c r="A136" s="119" t="s">
        <v>11</v>
      </c>
      <c r="B136" s="77">
        <f>K136*Générale!$B$4</f>
        <v>0</v>
      </c>
      <c r="C136" s="77">
        <f>L136*Générale!$B$4</f>
        <v>0</v>
      </c>
      <c r="D136" s="77">
        <f>M136*Générale!$B$4</f>
        <v>195</v>
      </c>
      <c r="E136" s="77">
        <f>N136*Générale!$B$4</f>
        <v>396</v>
      </c>
      <c r="J136" s="119" t="s">
        <v>11</v>
      </c>
      <c r="K136" s="77">
        <v>0</v>
      </c>
      <c r="L136" s="77"/>
      <c r="M136" s="189">
        <v>65</v>
      </c>
      <c r="N136" s="189">
        <v>132</v>
      </c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x14ac:dyDescent="0.25">
      <c r="A137" s="119" t="s">
        <v>12</v>
      </c>
      <c r="B137" s="77">
        <f>K137*Générale!$B$4</f>
        <v>0</v>
      </c>
      <c r="C137" s="77">
        <f>L137*Générale!$B$4</f>
        <v>0</v>
      </c>
      <c r="D137" s="77">
        <f>M137*Générale!$B$4</f>
        <v>681</v>
      </c>
      <c r="E137" s="77">
        <f>N137*Générale!$B$4</f>
        <v>0</v>
      </c>
      <c r="J137" s="119" t="s">
        <v>12</v>
      </c>
      <c r="K137" s="77">
        <v>0</v>
      </c>
      <c r="L137" s="77"/>
      <c r="M137" s="189">
        <v>227</v>
      </c>
      <c r="N137" s="77"/>
    </row>
    <row r="138" spans="1:29" ht="15.75" thickBot="1" x14ac:dyDescent="0.3">
      <c r="A138" s="119" t="s">
        <v>13</v>
      </c>
      <c r="B138" s="77">
        <f>K138*Générale!$B$4</f>
        <v>0</v>
      </c>
      <c r="C138" s="77">
        <f>L138*Générale!$B$4</f>
        <v>0</v>
      </c>
      <c r="D138" s="77">
        <f>M138*Générale!$B$4</f>
        <v>864</v>
      </c>
      <c r="E138" s="77">
        <f>N138*Générale!$B$4</f>
        <v>0</v>
      </c>
      <c r="J138" s="119" t="s">
        <v>13</v>
      </c>
      <c r="K138" s="77">
        <v>0</v>
      </c>
      <c r="L138" s="77"/>
      <c r="M138" s="190">
        <v>288</v>
      </c>
      <c r="N138" s="77"/>
    </row>
    <row r="139" spans="1:29" ht="16.5" thickTop="1" thickBot="1" x14ac:dyDescent="0.3">
      <c r="A139" s="128" t="s">
        <v>0</v>
      </c>
      <c r="B139" s="137">
        <f>SUM(B127:B138)</f>
        <v>0</v>
      </c>
      <c r="C139" s="137">
        <f t="shared" ref="C139:D139" si="110">SUM(C127:C138)</f>
        <v>0</v>
      </c>
      <c r="D139" s="137">
        <f t="shared" si="110"/>
        <v>40809</v>
      </c>
      <c r="E139" s="137">
        <f>SUM(E127:E138)</f>
        <v>47241</v>
      </c>
      <c r="J139" s="128" t="s">
        <v>0</v>
      </c>
      <c r="K139" s="129">
        <f>SUM(K128:K138)</f>
        <v>0</v>
      </c>
      <c r="L139" s="129">
        <f>SUM(L127:L138)</f>
        <v>0</v>
      </c>
      <c r="M139" s="129">
        <f>SUM(M128:M138)</f>
        <v>13603</v>
      </c>
      <c r="N139" s="129">
        <f>SUM(N128:N138)</f>
        <v>15078</v>
      </c>
    </row>
    <row r="140" spans="1:29" ht="15.75" thickTop="1" x14ac:dyDescent="0.25">
      <c r="A140" s="136" t="s">
        <v>14</v>
      </c>
      <c r="B140" s="136"/>
      <c r="C140" s="136"/>
      <c r="D140" s="136"/>
      <c r="E140" s="136"/>
      <c r="J140" s="136" t="s">
        <v>14</v>
      </c>
      <c r="K140" s="136"/>
      <c r="L140" s="136"/>
      <c r="M140" s="136"/>
      <c r="N140" s="136"/>
    </row>
    <row r="141" spans="1:29" ht="15.75" thickBot="1" x14ac:dyDescent="0.3"/>
    <row r="142" spans="1:29" ht="17.25" thickTop="1" thickBot="1" x14ac:dyDescent="0.3">
      <c r="A142" s="140" t="s">
        <v>218</v>
      </c>
      <c r="B142" s="142"/>
    </row>
    <row r="143" spans="1:29" ht="16.5" thickTop="1" x14ac:dyDescent="0.25">
      <c r="A143" s="124"/>
      <c r="B143" s="125">
        <v>2014</v>
      </c>
      <c r="C143" s="125">
        <v>2015</v>
      </c>
      <c r="D143" s="125">
        <v>2016</v>
      </c>
      <c r="E143" s="125">
        <v>2017</v>
      </c>
    </row>
    <row r="144" spans="1:29" x14ac:dyDescent="0.25">
      <c r="A144" s="119" t="s">
        <v>2</v>
      </c>
      <c r="B144" s="77">
        <f>B161*Générale!$B$4</f>
        <v>0</v>
      </c>
      <c r="C144" s="77">
        <f>C161*Générale!$B$4</f>
        <v>0</v>
      </c>
      <c r="D144" s="77">
        <f>D161*Générale!$B$4</f>
        <v>0</v>
      </c>
      <c r="E144" s="77">
        <f>E161*Générale!$B$4</f>
        <v>0</v>
      </c>
    </row>
    <row r="145" spans="1:21" x14ac:dyDescent="0.25">
      <c r="A145" s="119" t="s">
        <v>3</v>
      </c>
      <c r="B145" s="77">
        <f>B162*Générale!$B$4</f>
        <v>0</v>
      </c>
      <c r="C145" s="77">
        <f>C162*Générale!$B$4</f>
        <v>0</v>
      </c>
      <c r="D145" s="77">
        <f>D162*Générale!$B$4</f>
        <v>0</v>
      </c>
      <c r="E145" s="77">
        <f>E162*Générale!$B$4</f>
        <v>0</v>
      </c>
    </row>
    <row r="146" spans="1:21" x14ac:dyDescent="0.25">
      <c r="A146" s="119" t="s">
        <v>4</v>
      </c>
      <c r="B146" s="77">
        <f>B163*Générale!$B$4</f>
        <v>0</v>
      </c>
      <c r="C146" s="77">
        <f>C163*Générale!$B$4</f>
        <v>0</v>
      </c>
      <c r="D146" s="77">
        <f>D163*Générale!$B$4</f>
        <v>0</v>
      </c>
      <c r="E146" s="77">
        <f>E163*Générale!$B$4</f>
        <v>0</v>
      </c>
    </row>
    <row r="147" spans="1:21" x14ac:dyDescent="0.25">
      <c r="A147" s="119" t="s">
        <v>5</v>
      </c>
      <c r="B147" s="77">
        <f>B164*Générale!$B$4</f>
        <v>0</v>
      </c>
      <c r="C147" s="77">
        <f>C164*Générale!$B$4</f>
        <v>0</v>
      </c>
      <c r="D147" s="77">
        <f>D164*Générale!$B$4</f>
        <v>0</v>
      </c>
      <c r="E147" s="77">
        <f>E164*Générale!$B$4</f>
        <v>0</v>
      </c>
    </row>
    <row r="148" spans="1:21" x14ac:dyDescent="0.25">
      <c r="A148" s="119" t="s">
        <v>6</v>
      </c>
      <c r="B148" s="77">
        <f>B165*Générale!$B$4</f>
        <v>0</v>
      </c>
      <c r="C148" s="77">
        <f>C165*Générale!$B$4</f>
        <v>0</v>
      </c>
      <c r="D148" s="77">
        <f>D165*Générale!$B$4</f>
        <v>0</v>
      </c>
      <c r="E148" s="77">
        <f>E165*Générale!$B$4</f>
        <v>0</v>
      </c>
    </row>
    <row r="149" spans="1:21" x14ac:dyDescent="0.25">
      <c r="A149" s="119" t="s">
        <v>7</v>
      </c>
      <c r="B149" s="77">
        <f>B166*Générale!$B$4</f>
        <v>0</v>
      </c>
      <c r="C149" s="77">
        <f>C166*Générale!$B$4</f>
        <v>0</v>
      </c>
      <c r="D149" s="77">
        <f>D166*Générale!$B$4</f>
        <v>10974</v>
      </c>
      <c r="E149" s="77">
        <f>E166*Générale!$B$4</f>
        <v>10974</v>
      </c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x14ac:dyDescent="0.25">
      <c r="A150" s="119" t="s">
        <v>8</v>
      </c>
      <c r="B150" s="77">
        <f>B167*Générale!$B$4</f>
        <v>0</v>
      </c>
      <c r="C150" s="77">
        <f>C167*Générale!$B$4</f>
        <v>0</v>
      </c>
      <c r="D150" s="77">
        <f>D167*Générale!$B$4</f>
        <v>12156</v>
      </c>
      <c r="E150" s="77">
        <f>E167*Générale!$B$4</f>
        <v>12156</v>
      </c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x14ac:dyDescent="0.25">
      <c r="A151" s="119" t="s">
        <v>9</v>
      </c>
      <c r="B151" s="77">
        <f>B168*Générale!$B$4</f>
        <v>0</v>
      </c>
      <c r="C151" s="77">
        <f>C168*Générale!$B$4</f>
        <v>0</v>
      </c>
      <c r="D151" s="77">
        <f>D168*Générale!$B$4</f>
        <v>13497</v>
      </c>
      <c r="E151" s="77">
        <f>E168*Générale!$B$4</f>
        <v>13497</v>
      </c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x14ac:dyDescent="0.25">
      <c r="A152" s="119" t="s">
        <v>10</v>
      </c>
      <c r="B152" s="77">
        <f>B169*Générale!$B$4</f>
        <v>0</v>
      </c>
      <c r="C152" s="77">
        <f>C169*Générale!$B$4</f>
        <v>0</v>
      </c>
      <c r="D152" s="77">
        <f>D169*Générale!$B$4</f>
        <v>10893</v>
      </c>
      <c r="E152" s="77">
        <f>E169*Générale!$B$4</f>
        <v>10893</v>
      </c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x14ac:dyDescent="0.25">
      <c r="A153" s="119" t="s">
        <v>11</v>
      </c>
      <c r="B153" s="77">
        <f>B170*Générale!$B$4</f>
        <v>0</v>
      </c>
      <c r="C153" s="77">
        <f>C170*Générale!$B$4</f>
        <v>0</v>
      </c>
      <c r="D153" s="77">
        <f>D170*Générale!$B$4</f>
        <v>1422</v>
      </c>
      <c r="E153" s="77">
        <f>E170*Générale!$B$4</f>
        <v>1422</v>
      </c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x14ac:dyDescent="0.25">
      <c r="A154" s="119" t="s">
        <v>12</v>
      </c>
      <c r="B154" s="77">
        <f>B171*Générale!$B$4</f>
        <v>0</v>
      </c>
      <c r="C154" s="77">
        <f>C171*Générale!$B$4</f>
        <v>0</v>
      </c>
      <c r="D154" s="77">
        <f>D171*Générale!$B$4</f>
        <v>8532</v>
      </c>
      <c r="E154" s="77">
        <f>E171*Générale!$B$4</f>
        <v>8532</v>
      </c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ht="15.75" thickBot="1" x14ac:dyDescent="0.3">
      <c r="A155" s="139" t="s">
        <v>13</v>
      </c>
      <c r="B155" s="43">
        <f>B172*Générale!$B$4</f>
        <v>0</v>
      </c>
      <c r="C155" s="43">
        <f>C172*Générale!$B$4</f>
        <v>0</v>
      </c>
      <c r="D155" s="43">
        <f>D172*Générale!$B$4</f>
        <v>8532</v>
      </c>
      <c r="E155" s="43">
        <f>E172*Générale!$B$4</f>
        <v>8532</v>
      </c>
    </row>
    <row r="156" spans="1:21" ht="16.5" thickTop="1" thickBot="1" x14ac:dyDescent="0.3">
      <c r="A156" s="138" t="s">
        <v>0</v>
      </c>
      <c r="B156" s="137">
        <f t="shared" ref="B156:D156" si="111">SUM(B144:B155)</f>
        <v>0</v>
      </c>
      <c r="C156" s="137">
        <f>SUM(C144:C155)</f>
        <v>0</v>
      </c>
      <c r="D156" s="137">
        <f t="shared" si="111"/>
        <v>66006</v>
      </c>
      <c r="E156" s="137">
        <f>SUM(E144:E155)</f>
        <v>66006</v>
      </c>
    </row>
    <row r="157" spans="1:21" ht="15.75" thickTop="1" x14ac:dyDescent="0.25">
      <c r="A157" s="144" t="s">
        <v>132</v>
      </c>
      <c r="B157" s="144"/>
    </row>
    <row r="158" spans="1:21" ht="15.75" thickBot="1" x14ac:dyDescent="0.3"/>
    <row r="159" spans="1:21" ht="17.25" thickTop="1" thickBot="1" x14ac:dyDescent="0.3">
      <c r="A159" s="140" t="s">
        <v>219</v>
      </c>
      <c r="B159" s="142"/>
    </row>
    <row r="160" spans="1:21" ht="16.5" thickTop="1" x14ac:dyDescent="0.25">
      <c r="A160" s="124"/>
      <c r="B160" s="125">
        <v>2014</v>
      </c>
      <c r="C160" s="125">
        <v>2015</v>
      </c>
      <c r="D160" s="125">
        <v>2016</v>
      </c>
      <c r="E160" s="125">
        <v>2017</v>
      </c>
    </row>
    <row r="161" spans="1:9" x14ac:dyDescent="0.25">
      <c r="A161" s="119" t="s">
        <v>2</v>
      </c>
      <c r="B161" s="77">
        <v>0</v>
      </c>
      <c r="C161" s="77">
        <v>0</v>
      </c>
      <c r="D161" s="77">
        <v>0</v>
      </c>
      <c r="E161" s="179"/>
    </row>
    <row r="162" spans="1:9" x14ac:dyDescent="0.25">
      <c r="A162" s="119" t="s">
        <v>3</v>
      </c>
      <c r="B162" s="77">
        <v>0</v>
      </c>
      <c r="C162" s="77">
        <v>0</v>
      </c>
      <c r="D162" s="77">
        <v>0</v>
      </c>
      <c r="E162" s="179"/>
    </row>
    <row r="163" spans="1:9" x14ac:dyDescent="0.25">
      <c r="A163" s="119" t="s">
        <v>4</v>
      </c>
      <c r="B163" s="77">
        <v>0</v>
      </c>
      <c r="C163" s="77">
        <v>0</v>
      </c>
      <c r="D163" s="77">
        <v>0</v>
      </c>
      <c r="E163" s="179"/>
    </row>
    <row r="164" spans="1:9" x14ac:dyDescent="0.25">
      <c r="A164" s="119" t="s">
        <v>5</v>
      </c>
      <c r="B164" s="77">
        <v>0</v>
      </c>
      <c r="C164" s="77">
        <v>0</v>
      </c>
      <c r="D164" s="77">
        <v>0</v>
      </c>
      <c r="E164" s="179"/>
    </row>
    <row r="165" spans="1:9" x14ac:dyDescent="0.25">
      <c r="A165" s="119" t="s">
        <v>6</v>
      </c>
      <c r="B165" s="77">
        <v>0</v>
      </c>
      <c r="C165" s="77">
        <v>0</v>
      </c>
      <c r="D165" s="77">
        <v>0</v>
      </c>
      <c r="E165" s="179"/>
    </row>
    <row r="166" spans="1:9" x14ac:dyDescent="0.25">
      <c r="A166" s="119" t="s">
        <v>7</v>
      </c>
      <c r="B166" s="77">
        <v>0</v>
      </c>
      <c r="C166" s="77">
        <v>0</v>
      </c>
      <c r="D166" s="77">
        <v>3658</v>
      </c>
      <c r="E166" s="179">
        <f>AVERAGE(D166)</f>
        <v>3658</v>
      </c>
    </row>
    <row r="167" spans="1:9" x14ac:dyDescent="0.25">
      <c r="A167" s="119" t="s">
        <v>8</v>
      </c>
      <c r="B167" s="77">
        <v>0</v>
      </c>
      <c r="C167" s="77">
        <v>0</v>
      </c>
      <c r="D167" s="77">
        <v>4052</v>
      </c>
      <c r="E167" s="179">
        <f t="shared" ref="E167:E172" si="112">AVERAGE(D167)</f>
        <v>4052</v>
      </c>
    </row>
    <row r="168" spans="1:9" x14ac:dyDescent="0.25">
      <c r="A168" s="119" t="s">
        <v>9</v>
      </c>
      <c r="B168" s="77">
        <v>0</v>
      </c>
      <c r="C168" s="77">
        <v>0</v>
      </c>
      <c r="D168" s="77">
        <v>4499</v>
      </c>
      <c r="E168" s="179">
        <f t="shared" si="112"/>
        <v>4499</v>
      </c>
      <c r="I168"/>
    </row>
    <row r="169" spans="1:9" x14ac:dyDescent="0.25">
      <c r="A169" s="119" t="s">
        <v>10</v>
      </c>
      <c r="B169" s="77">
        <v>0</v>
      </c>
      <c r="C169" s="77">
        <v>0</v>
      </c>
      <c r="D169" s="77">
        <v>3631</v>
      </c>
      <c r="E169" s="179">
        <f t="shared" si="112"/>
        <v>3631</v>
      </c>
      <c r="I169"/>
    </row>
    <row r="170" spans="1:9" x14ac:dyDescent="0.25">
      <c r="A170" s="119" t="s">
        <v>11</v>
      </c>
      <c r="B170" s="77">
        <v>0</v>
      </c>
      <c r="C170" s="77">
        <v>0</v>
      </c>
      <c r="D170" s="77">
        <v>474</v>
      </c>
      <c r="E170" s="179">
        <f t="shared" si="112"/>
        <v>474</v>
      </c>
      <c r="I170"/>
    </row>
    <row r="171" spans="1:9" x14ac:dyDescent="0.25">
      <c r="A171" s="119" t="s">
        <v>12</v>
      </c>
      <c r="B171" s="77">
        <v>0</v>
      </c>
      <c r="C171" s="77">
        <v>0</v>
      </c>
      <c r="D171" s="77">
        <v>2844</v>
      </c>
      <c r="E171" s="179">
        <f t="shared" si="112"/>
        <v>2844</v>
      </c>
      <c r="I171"/>
    </row>
    <row r="172" spans="1:9" ht="15.75" thickBot="1" x14ac:dyDescent="0.3">
      <c r="A172" s="139" t="s">
        <v>13</v>
      </c>
      <c r="B172" s="43">
        <v>0</v>
      </c>
      <c r="C172" s="43">
        <v>0</v>
      </c>
      <c r="D172" s="43">
        <v>2844</v>
      </c>
      <c r="E172" s="179">
        <f t="shared" si="112"/>
        <v>2844</v>
      </c>
      <c r="I172"/>
    </row>
    <row r="173" spans="1:9" ht="16.5" thickTop="1" thickBot="1" x14ac:dyDescent="0.3">
      <c r="A173" s="138" t="s">
        <v>0</v>
      </c>
      <c r="B173" s="137">
        <f t="shared" ref="B173:D173" si="113">SUM(B161:B172)</f>
        <v>0</v>
      </c>
      <c r="C173" s="137">
        <f t="shared" si="113"/>
        <v>0</v>
      </c>
      <c r="D173" s="137">
        <f t="shared" si="113"/>
        <v>22002</v>
      </c>
      <c r="E173" s="137">
        <f>SUM(E161:E172)</f>
        <v>22002</v>
      </c>
      <c r="I173"/>
    </row>
    <row r="174" spans="1:9" ht="15.75" thickTop="1" x14ac:dyDescent="0.25"/>
  </sheetData>
  <mergeCells count="2">
    <mergeCell ref="A35:F35"/>
    <mergeCell ref="A54:F54"/>
  </mergeCells>
  <conditionalFormatting sqref="T58:X70">
    <cfRule type="cellIs" dxfId="17" priority="6" operator="lessThan">
      <formula>0</formula>
    </cfRule>
  </conditionalFormatting>
  <conditionalFormatting sqref="T74:X86">
    <cfRule type="cellIs" dxfId="16" priority="5" operator="lessThan">
      <formula>0</formula>
    </cfRule>
  </conditionalFormatting>
  <conditionalFormatting sqref="AD58:AG70">
    <cfRule type="cellIs" dxfId="15" priority="4" operator="greaterThan">
      <formula>0</formula>
    </cfRule>
  </conditionalFormatting>
  <conditionalFormatting sqref="AD74:AG86">
    <cfRule type="cellIs" dxfId="14" priority="3" operator="greaterThan">
      <formula>0</formula>
    </cfRule>
  </conditionalFormatting>
  <conditionalFormatting sqref="AC22:AG34">
    <cfRule type="cellIs" dxfId="13" priority="8" operator="lessThan">
      <formula>0</formula>
    </cfRule>
  </conditionalFormatting>
  <conditionalFormatting sqref="AL3:AP16">
    <cfRule type="cellIs" dxfId="12" priority="7" operator="greaterThan">
      <formula>1</formula>
    </cfRule>
  </conditionalFormatting>
  <conditionalFormatting sqref="AC41:AF53">
    <cfRule type="cellIs" dxfId="11" priority="2" operator="greaterThan">
      <formula>0</formula>
    </cfRule>
  </conditionalFormatting>
  <conditionalFormatting sqref="T3:W14">
    <cfRule type="cellIs" dxfId="1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19" zoomScale="73" zoomScaleNormal="73" workbookViewId="0">
      <selection activeCell="J39" sqref="J39"/>
    </sheetView>
  </sheetViews>
  <sheetFormatPr baseColWidth="10" defaultRowHeight="15" x14ac:dyDescent="0.25"/>
  <cols>
    <col min="10" max="10" width="13.7109375" customWidth="1"/>
    <col min="11" max="11" width="14" customWidth="1"/>
    <col min="12" max="12" width="13.42578125" customWidth="1"/>
    <col min="13" max="13" width="13.7109375" customWidth="1"/>
    <col min="14" max="14" width="14.140625" customWidth="1"/>
  </cols>
  <sheetData>
    <row r="1" spans="1:26" ht="17.25" thickTop="1" thickBot="1" x14ac:dyDescent="0.3">
      <c r="A1" s="14" t="s">
        <v>70</v>
      </c>
      <c r="B1" s="15"/>
      <c r="J1" s="140" t="s">
        <v>124</v>
      </c>
      <c r="K1" s="142"/>
      <c r="L1" s="117"/>
      <c r="M1" s="117"/>
      <c r="N1" s="117"/>
      <c r="O1" s="117"/>
      <c r="P1" s="117"/>
      <c r="Q1" s="117"/>
      <c r="R1" s="117"/>
      <c r="S1" s="140" t="s">
        <v>97</v>
      </c>
      <c r="T1" s="142"/>
      <c r="U1" s="117"/>
      <c r="V1" s="117"/>
      <c r="W1" s="117"/>
      <c r="X1" s="117"/>
      <c r="Y1" s="117"/>
      <c r="Z1" s="117"/>
    </row>
    <row r="2" spans="1:26" ht="16.5" thickTop="1" x14ac:dyDescent="0.25">
      <c r="A2" s="5"/>
      <c r="B2" s="6">
        <v>2014</v>
      </c>
      <c r="C2" s="6">
        <v>2015</v>
      </c>
      <c r="D2" s="6">
        <v>2016</v>
      </c>
      <c r="E2" s="6">
        <v>2017</v>
      </c>
      <c r="F2" s="7" t="s">
        <v>1</v>
      </c>
      <c r="G2" t="s">
        <v>18</v>
      </c>
      <c r="H2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86" t="s">
        <v>74</v>
      </c>
      <c r="Q2" s="86" t="s">
        <v>75</v>
      </c>
      <c r="R2" s="117"/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86" t="s">
        <v>74</v>
      </c>
      <c r="Z2" s="86" t="s">
        <v>75</v>
      </c>
    </row>
    <row r="3" spans="1:26" x14ac:dyDescent="0.25">
      <c r="A3" s="3" t="s">
        <v>2</v>
      </c>
      <c r="B3" s="13">
        <v>0</v>
      </c>
      <c r="C3" s="13">
        <v>0</v>
      </c>
      <c r="D3" s="13">
        <v>0</v>
      </c>
      <c r="E3" s="13">
        <v>0</v>
      </c>
      <c r="F3" s="8">
        <f t="shared" ref="F3:F14" si="0">AVERAGE(B3:E3)</f>
        <v>0</v>
      </c>
      <c r="G3" s="8">
        <f t="shared" ref="G3:G14" si="1">STDEVA(B3:E3)</f>
        <v>0</v>
      </c>
      <c r="H3" s="8">
        <f t="shared" ref="H3:H14" si="2">STDEVA(B3:E3)</f>
        <v>0</v>
      </c>
      <c r="J3" s="119" t="s">
        <v>2</v>
      </c>
      <c r="K3" s="41" t="e">
        <f t="shared" ref="K3:N14" si="3">B22/B3</f>
        <v>#DIV/0!</v>
      </c>
      <c r="L3" s="41" t="e">
        <f t="shared" si="3"/>
        <v>#DIV/0!</v>
      </c>
      <c r="M3" s="41" t="e">
        <f t="shared" si="3"/>
        <v>#DIV/0!</v>
      </c>
      <c r="N3" s="41" t="e">
        <f t="shared" si="3"/>
        <v>#DIV/0!</v>
      </c>
      <c r="O3" s="122" t="e">
        <f>AVERAGE(K3:N3)</f>
        <v>#DIV/0!</v>
      </c>
      <c r="P3" s="123" t="e">
        <f>MAX(K3:N3)</f>
        <v>#DIV/0!</v>
      </c>
      <c r="Q3" s="123" t="e">
        <f>MIN(K3:N3)</f>
        <v>#DIV/0!</v>
      </c>
      <c r="R3" s="117"/>
      <c r="S3" s="119" t="s">
        <v>2</v>
      </c>
      <c r="T3" s="41" t="e">
        <f t="shared" ref="T3:W14" si="4">B58/B3</f>
        <v>#DIV/0!</v>
      </c>
      <c r="U3" s="41" t="e">
        <f t="shared" si="4"/>
        <v>#DIV/0!</v>
      </c>
      <c r="V3" s="41" t="e">
        <f t="shared" si="4"/>
        <v>#DIV/0!</v>
      </c>
      <c r="W3" s="41" t="e">
        <f t="shared" si="4"/>
        <v>#DIV/0!</v>
      </c>
      <c r="X3" s="122" t="e">
        <f>AVERAGE(T3:W3)</f>
        <v>#DIV/0!</v>
      </c>
      <c r="Y3" s="123" t="e">
        <f>MAX(T3:W3)</f>
        <v>#DIV/0!</v>
      </c>
      <c r="Z3" s="123" t="e">
        <f>MIN(T3:W3)</f>
        <v>#DIV/0!</v>
      </c>
    </row>
    <row r="4" spans="1:26" x14ac:dyDescent="0.25">
      <c r="A4" s="3" t="s">
        <v>3</v>
      </c>
      <c r="B4" s="13">
        <v>0</v>
      </c>
      <c r="C4" s="13">
        <v>0</v>
      </c>
      <c r="D4" s="16">
        <v>0</v>
      </c>
      <c r="E4" s="55">
        <v>0</v>
      </c>
      <c r="F4" s="8">
        <f t="shared" si="0"/>
        <v>0</v>
      </c>
      <c r="G4" s="8">
        <f t="shared" si="1"/>
        <v>0</v>
      </c>
      <c r="H4" s="8">
        <f t="shared" si="2"/>
        <v>0</v>
      </c>
      <c r="J4" s="119" t="s">
        <v>3</v>
      </c>
      <c r="K4" s="41" t="e">
        <f t="shared" si="3"/>
        <v>#DIV/0!</v>
      </c>
      <c r="L4" s="41" t="e">
        <f t="shared" si="3"/>
        <v>#DIV/0!</v>
      </c>
      <c r="M4" s="41" t="e">
        <f t="shared" si="3"/>
        <v>#DIV/0!</v>
      </c>
      <c r="N4" s="41" t="e">
        <f t="shared" si="3"/>
        <v>#DIV/0!</v>
      </c>
      <c r="O4" s="122" t="e">
        <f t="shared" ref="O4:O14" si="5">AVERAGE(K4:N4)</f>
        <v>#DIV/0!</v>
      </c>
      <c r="P4" s="123" t="e">
        <f t="shared" ref="P4:P14" si="6">MAX(K4:N4)</f>
        <v>#DIV/0!</v>
      </c>
      <c r="Q4" s="123" t="e">
        <f t="shared" ref="Q4:Q14" si="7">MIN(K4:N4)</f>
        <v>#DIV/0!</v>
      </c>
      <c r="R4" s="117"/>
      <c r="S4" s="119" t="s">
        <v>3</v>
      </c>
      <c r="T4" s="41" t="e">
        <f t="shared" si="4"/>
        <v>#DIV/0!</v>
      </c>
      <c r="U4" s="41" t="e">
        <f t="shared" si="4"/>
        <v>#DIV/0!</v>
      </c>
      <c r="V4" s="41" t="e">
        <f t="shared" si="4"/>
        <v>#DIV/0!</v>
      </c>
      <c r="W4" s="41" t="e">
        <f t="shared" si="4"/>
        <v>#DIV/0!</v>
      </c>
      <c r="X4" s="122" t="e">
        <f t="shared" ref="X4:X14" si="8">AVERAGE(T4:W4)</f>
        <v>#DIV/0!</v>
      </c>
      <c r="Y4" s="123" t="e">
        <f t="shared" ref="Y4:Y14" si="9">MAX(T4:W4)</f>
        <v>#DIV/0!</v>
      </c>
      <c r="Z4" s="123" t="e">
        <f t="shared" ref="Z4:Z14" si="10">MIN(T4:W4)</f>
        <v>#DIV/0!</v>
      </c>
    </row>
    <row r="5" spans="1:26" x14ac:dyDescent="0.25">
      <c r="A5" s="3" t="s">
        <v>4</v>
      </c>
      <c r="B5" s="13">
        <v>0</v>
      </c>
      <c r="C5" s="13">
        <v>0</v>
      </c>
      <c r="D5" s="16">
        <v>0</v>
      </c>
      <c r="E5" s="55">
        <v>0</v>
      </c>
      <c r="F5" s="8">
        <f t="shared" si="0"/>
        <v>0</v>
      </c>
      <c r="G5" s="8">
        <f t="shared" si="1"/>
        <v>0</v>
      </c>
      <c r="H5" s="8">
        <f t="shared" si="2"/>
        <v>0</v>
      </c>
      <c r="J5" s="119" t="s">
        <v>4</v>
      </c>
      <c r="K5" s="41" t="e">
        <f t="shared" si="3"/>
        <v>#DIV/0!</v>
      </c>
      <c r="L5" s="41" t="e">
        <f t="shared" si="3"/>
        <v>#DIV/0!</v>
      </c>
      <c r="M5" s="41" t="e">
        <f t="shared" si="3"/>
        <v>#DIV/0!</v>
      </c>
      <c r="N5" s="41" t="e">
        <f t="shared" si="3"/>
        <v>#DIV/0!</v>
      </c>
      <c r="O5" s="122" t="e">
        <f t="shared" si="5"/>
        <v>#DIV/0!</v>
      </c>
      <c r="P5" s="123" t="e">
        <f t="shared" si="6"/>
        <v>#DIV/0!</v>
      </c>
      <c r="Q5" s="123" t="e">
        <f t="shared" si="7"/>
        <v>#DIV/0!</v>
      </c>
      <c r="R5" s="117"/>
      <c r="S5" s="119" t="s">
        <v>4</v>
      </c>
      <c r="T5" s="41" t="e">
        <f t="shared" si="4"/>
        <v>#DIV/0!</v>
      </c>
      <c r="U5" s="41" t="e">
        <f t="shared" si="4"/>
        <v>#DIV/0!</v>
      </c>
      <c r="V5" s="41" t="e">
        <f t="shared" si="4"/>
        <v>#DIV/0!</v>
      </c>
      <c r="W5" s="41" t="e">
        <f t="shared" si="4"/>
        <v>#DIV/0!</v>
      </c>
      <c r="X5" s="122" t="e">
        <f t="shared" si="8"/>
        <v>#DIV/0!</v>
      </c>
      <c r="Y5" s="123" t="e">
        <f t="shared" si="9"/>
        <v>#DIV/0!</v>
      </c>
      <c r="Z5" s="123" t="e">
        <f t="shared" si="10"/>
        <v>#DIV/0!</v>
      </c>
    </row>
    <row r="6" spans="1:26" x14ac:dyDescent="0.25">
      <c r="A6" s="3" t="s">
        <v>5</v>
      </c>
      <c r="B6" s="13">
        <v>0</v>
      </c>
      <c r="C6" s="13">
        <v>0</v>
      </c>
      <c r="D6" s="13">
        <v>0</v>
      </c>
      <c r="E6" s="55">
        <v>0</v>
      </c>
      <c r="F6" s="8">
        <f t="shared" si="0"/>
        <v>0</v>
      </c>
      <c r="G6" s="8">
        <f t="shared" si="1"/>
        <v>0</v>
      </c>
      <c r="H6" s="8">
        <f t="shared" si="2"/>
        <v>0</v>
      </c>
      <c r="J6" s="119" t="s">
        <v>5</v>
      </c>
      <c r="K6" s="41" t="e">
        <f t="shared" si="3"/>
        <v>#DIV/0!</v>
      </c>
      <c r="L6" s="41" t="e">
        <f t="shared" si="3"/>
        <v>#DIV/0!</v>
      </c>
      <c r="M6" s="41" t="e">
        <f t="shared" si="3"/>
        <v>#DIV/0!</v>
      </c>
      <c r="N6" s="41" t="e">
        <f t="shared" si="3"/>
        <v>#DIV/0!</v>
      </c>
      <c r="O6" s="122" t="e">
        <f t="shared" si="5"/>
        <v>#DIV/0!</v>
      </c>
      <c r="P6" s="123" t="e">
        <f t="shared" si="6"/>
        <v>#DIV/0!</v>
      </c>
      <c r="Q6" s="123" t="e">
        <f t="shared" si="7"/>
        <v>#DIV/0!</v>
      </c>
      <c r="R6" s="117"/>
      <c r="S6" s="119" t="s">
        <v>5</v>
      </c>
      <c r="T6" s="41" t="e">
        <f t="shared" si="4"/>
        <v>#DIV/0!</v>
      </c>
      <c r="U6" s="41" t="e">
        <f t="shared" si="4"/>
        <v>#DIV/0!</v>
      </c>
      <c r="V6" s="41" t="e">
        <f t="shared" si="4"/>
        <v>#DIV/0!</v>
      </c>
      <c r="W6" s="41" t="e">
        <f t="shared" si="4"/>
        <v>#DIV/0!</v>
      </c>
      <c r="X6" s="122" t="e">
        <f t="shared" si="8"/>
        <v>#DIV/0!</v>
      </c>
      <c r="Y6" s="123" t="e">
        <f t="shared" si="9"/>
        <v>#DIV/0!</v>
      </c>
      <c r="Z6" s="123" t="e">
        <f t="shared" si="10"/>
        <v>#DIV/0!</v>
      </c>
    </row>
    <row r="7" spans="1:26" x14ac:dyDescent="0.25">
      <c r="A7" s="3" t="s">
        <v>6</v>
      </c>
      <c r="B7" s="13">
        <v>0</v>
      </c>
      <c r="C7" s="13">
        <v>0</v>
      </c>
      <c r="D7" s="13">
        <v>0</v>
      </c>
      <c r="E7" s="55">
        <v>0</v>
      </c>
      <c r="F7" s="8">
        <f t="shared" si="0"/>
        <v>0</v>
      </c>
      <c r="G7" s="8">
        <f t="shared" si="1"/>
        <v>0</v>
      </c>
      <c r="H7" s="8">
        <f t="shared" si="2"/>
        <v>0</v>
      </c>
      <c r="J7" s="119" t="s">
        <v>6</v>
      </c>
      <c r="K7" s="41" t="e">
        <f t="shared" si="3"/>
        <v>#DIV/0!</v>
      </c>
      <c r="L7" s="41" t="e">
        <f t="shared" si="3"/>
        <v>#DIV/0!</v>
      </c>
      <c r="M7" s="41" t="e">
        <f t="shared" si="3"/>
        <v>#DIV/0!</v>
      </c>
      <c r="N7" s="41" t="e">
        <f t="shared" si="3"/>
        <v>#DIV/0!</v>
      </c>
      <c r="O7" s="122" t="e">
        <f t="shared" si="5"/>
        <v>#DIV/0!</v>
      </c>
      <c r="P7" s="123" t="e">
        <f t="shared" si="6"/>
        <v>#DIV/0!</v>
      </c>
      <c r="Q7" s="123" t="e">
        <f t="shared" si="7"/>
        <v>#DIV/0!</v>
      </c>
      <c r="R7" s="117"/>
      <c r="S7" s="119" t="s">
        <v>6</v>
      </c>
      <c r="T7" s="41" t="e">
        <f t="shared" si="4"/>
        <v>#DIV/0!</v>
      </c>
      <c r="U7" s="41" t="e">
        <f t="shared" si="4"/>
        <v>#DIV/0!</v>
      </c>
      <c r="V7" s="41" t="e">
        <f t="shared" si="4"/>
        <v>#DIV/0!</v>
      </c>
      <c r="W7" s="41" t="e">
        <f t="shared" si="4"/>
        <v>#DIV/0!</v>
      </c>
      <c r="X7" s="122" t="e">
        <f t="shared" si="8"/>
        <v>#DIV/0!</v>
      </c>
      <c r="Y7" s="123" t="e">
        <f t="shared" si="9"/>
        <v>#DIV/0!</v>
      </c>
      <c r="Z7" s="123" t="e">
        <f t="shared" si="10"/>
        <v>#DIV/0!</v>
      </c>
    </row>
    <row r="8" spans="1:26" x14ac:dyDescent="0.25">
      <c r="A8" s="3" t="s">
        <v>7</v>
      </c>
      <c r="B8" s="13">
        <v>0</v>
      </c>
      <c r="C8" s="13">
        <v>0</v>
      </c>
      <c r="D8" s="13">
        <v>0</v>
      </c>
      <c r="E8" s="55">
        <v>0</v>
      </c>
      <c r="F8" s="8">
        <f t="shared" si="0"/>
        <v>0</v>
      </c>
      <c r="G8" s="8">
        <f t="shared" si="1"/>
        <v>0</v>
      </c>
      <c r="H8" s="8">
        <f t="shared" si="2"/>
        <v>0</v>
      </c>
      <c r="J8" s="119" t="s">
        <v>7</v>
      </c>
      <c r="K8" s="41" t="e">
        <f t="shared" si="3"/>
        <v>#DIV/0!</v>
      </c>
      <c r="L8" s="41" t="e">
        <f t="shared" si="3"/>
        <v>#DIV/0!</v>
      </c>
      <c r="M8" s="41" t="e">
        <f t="shared" si="3"/>
        <v>#DIV/0!</v>
      </c>
      <c r="N8" s="41" t="e">
        <f t="shared" si="3"/>
        <v>#DIV/0!</v>
      </c>
      <c r="O8" s="122" t="e">
        <f t="shared" si="5"/>
        <v>#DIV/0!</v>
      </c>
      <c r="P8" s="123" t="e">
        <f t="shared" si="6"/>
        <v>#DIV/0!</v>
      </c>
      <c r="Q8" s="123" t="e">
        <f t="shared" si="7"/>
        <v>#DIV/0!</v>
      </c>
      <c r="R8" s="117"/>
      <c r="S8" s="119" t="s">
        <v>7</v>
      </c>
      <c r="T8" s="41" t="e">
        <f t="shared" si="4"/>
        <v>#DIV/0!</v>
      </c>
      <c r="U8" s="41" t="e">
        <f t="shared" si="4"/>
        <v>#DIV/0!</v>
      </c>
      <c r="V8" s="41" t="e">
        <f t="shared" si="4"/>
        <v>#DIV/0!</v>
      </c>
      <c r="W8" s="41" t="e">
        <f t="shared" si="4"/>
        <v>#DIV/0!</v>
      </c>
      <c r="X8" s="122" t="e">
        <f t="shared" si="8"/>
        <v>#DIV/0!</v>
      </c>
      <c r="Y8" s="123" t="e">
        <f t="shared" si="9"/>
        <v>#DIV/0!</v>
      </c>
      <c r="Z8" s="123" t="e">
        <f t="shared" si="10"/>
        <v>#DIV/0!</v>
      </c>
    </row>
    <row r="9" spans="1:26" x14ac:dyDescent="0.25">
      <c r="A9" s="3" t="s">
        <v>8</v>
      </c>
      <c r="B9" s="13">
        <v>0</v>
      </c>
      <c r="C9" s="13">
        <v>0</v>
      </c>
      <c r="D9" s="13">
        <v>0</v>
      </c>
      <c r="E9" s="55">
        <v>0</v>
      </c>
      <c r="F9" s="8">
        <f t="shared" si="0"/>
        <v>0</v>
      </c>
      <c r="G9" s="8">
        <f t="shared" si="1"/>
        <v>0</v>
      </c>
      <c r="H9" s="8">
        <f t="shared" si="2"/>
        <v>0</v>
      </c>
      <c r="J9" s="119" t="s">
        <v>8</v>
      </c>
      <c r="K9" s="41" t="e">
        <f t="shared" si="3"/>
        <v>#DIV/0!</v>
      </c>
      <c r="L9" s="41" t="e">
        <f t="shared" si="3"/>
        <v>#DIV/0!</v>
      </c>
      <c r="M9" s="41" t="e">
        <f t="shared" si="3"/>
        <v>#DIV/0!</v>
      </c>
      <c r="N9" s="41" t="e">
        <f t="shared" si="3"/>
        <v>#DIV/0!</v>
      </c>
      <c r="O9" s="122" t="e">
        <f t="shared" si="5"/>
        <v>#DIV/0!</v>
      </c>
      <c r="P9" s="123" t="e">
        <f t="shared" si="6"/>
        <v>#DIV/0!</v>
      </c>
      <c r="Q9" s="123" t="e">
        <f t="shared" si="7"/>
        <v>#DIV/0!</v>
      </c>
      <c r="R9" s="117"/>
      <c r="S9" s="119" t="s">
        <v>8</v>
      </c>
      <c r="T9" s="41" t="e">
        <f t="shared" si="4"/>
        <v>#DIV/0!</v>
      </c>
      <c r="U9" s="41" t="e">
        <f t="shared" si="4"/>
        <v>#DIV/0!</v>
      </c>
      <c r="V9" s="41" t="e">
        <f t="shared" si="4"/>
        <v>#DIV/0!</v>
      </c>
      <c r="W9" s="41" t="e">
        <f t="shared" si="4"/>
        <v>#DIV/0!</v>
      </c>
      <c r="X9" s="122" t="e">
        <f t="shared" si="8"/>
        <v>#DIV/0!</v>
      </c>
      <c r="Y9" s="123" t="e">
        <f t="shared" si="9"/>
        <v>#DIV/0!</v>
      </c>
      <c r="Z9" s="123" t="e">
        <f t="shared" si="10"/>
        <v>#DIV/0!</v>
      </c>
    </row>
    <row r="10" spans="1:26" x14ac:dyDescent="0.25">
      <c r="A10" s="3" t="s">
        <v>9</v>
      </c>
      <c r="B10" s="13">
        <v>0</v>
      </c>
      <c r="C10" s="13">
        <v>0</v>
      </c>
      <c r="D10" s="13">
        <v>0</v>
      </c>
      <c r="E10" s="55">
        <v>0</v>
      </c>
      <c r="F10" s="8">
        <f t="shared" si="0"/>
        <v>0</v>
      </c>
      <c r="G10" s="8">
        <f t="shared" si="1"/>
        <v>0</v>
      </c>
      <c r="H10" s="8">
        <f t="shared" si="2"/>
        <v>0</v>
      </c>
      <c r="J10" s="119" t="s">
        <v>9</v>
      </c>
      <c r="K10" s="41" t="e">
        <f t="shared" si="3"/>
        <v>#DIV/0!</v>
      </c>
      <c r="L10" s="41" t="e">
        <f t="shared" si="3"/>
        <v>#DIV/0!</v>
      </c>
      <c r="M10" s="41" t="e">
        <f t="shared" si="3"/>
        <v>#DIV/0!</v>
      </c>
      <c r="N10" s="41" t="e">
        <f t="shared" si="3"/>
        <v>#DIV/0!</v>
      </c>
      <c r="O10" s="122" t="e">
        <f t="shared" si="5"/>
        <v>#DIV/0!</v>
      </c>
      <c r="P10" s="123" t="e">
        <f t="shared" si="6"/>
        <v>#DIV/0!</v>
      </c>
      <c r="Q10" s="123" t="e">
        <f t="shared" si="7"/>
        <v>#DIV/0!</v>
      </c>
      <c r="R10" s="117"/>
      <c r="S10" s="119" t="s">
        <v>9</v>
      </c>
      <c r="T10" s="41" t="e">
        <f t="shared" si="4"/>
        <v>#DIV/0!</v>
      </c>
      <c r="U10" s="41" t="e">
        <f t="shared" si="4"/>
        <v>#DIV/0!</v>
      </c>
      <c r="V10" s="41" t="e">
        <f t="shared" si="4"/>
        <v>#DIV/0!</v>
      </c>
      <c r="W10" s="41" t="e">
        <f t="shared" si="4"/>
        <v>#DIV/0!</v>
      </c>
      <c r="X10" s="122" t="e">
        <f t="shared" si="8"/>
        <v>#DIV/0!</v>
      </c>
      <c r="Y10" s="123" t="e">
        <f t="shared" si="9"/>
        <v>#DIV/0!</v>
      </c>
      <c r="Z10" s="123" t="e">
        <f t="shared" si="10"/>
        <v>#DIV/0!</v>
      </c>
    </row>
    <row r="11" spans="1:26" x14ac:dyDescent="0.25">
      <c r="A11" s="3" t="s">
        <v>10</v>
      </c>
      <c r="B11" s="13">
        <v>0</v>
      </c>
      <c r="C11" s="13">
        <v>0</v>
      </c>
      <c r="D11" s="13">
        <v>0</v>
      </c>
      <c r="E11" s="55">
        <v>0</v>
      </c>
      <c r="F11" s="8">
        <f t="shared" si="0"/>
        <v>0</v>
      </c>
      <c r="G11" s="8">
        <f t="shared" si="1"/>
        <v>0</v>
      </c>
      <c r="H11" s="8">
        <f t="shared" si="2"/>
        <v>0</v>
      </c>
      <c r="J11" s="119" t="s">
        <v>10</v>
      </c>
      <c r="K11" s="41" t="e">
        <f t="shared" si="3"/>
        <v>#DIV/0!</v>
      </c>
      <c r="L11" s="41" t="e">
        <f t="shared" si="3"/>
        <v>#DIV/0!</v>
      </c>
      <c r="M11" s="41" t="e">
        <f t="shared" si="3"/>
        <v>#DIV/0!</v>
      </c>
      <c r="N11" s="41" t="e">
        <f t="shared" si="3"/>
        <v>#DIV/0!</v>
      </c>
      <c r="O11" s="122" t="e">
        <f t="shared" si="5"/>
        <v>#DIV/0!</v>
      </c>
      <c r="P11" s="123" t="e">
        <f t="shared" si="6"/>
        <v>#DIV/0!</v>
      </c>
      <c r="Q11" s="123" t="e">
        <f t="shared" si="7"/>
        <v>#DIV/0!</v>
      </c>
      <c r="R11" s="117"/>
      <c r="S11" s="119" t="s">
        <v>10</v>
      </c>
      <c r="T11" s="41" t="e">
        <f t="shared" si="4"/>
        <v>#DIV/0!</v>
      </c>
      <c r="U11" s="41" t="e">
        <f t="shared" si="4"/>
        <v>#DIV/0!</v>
      </c>
      <c r="V11" s="41" t="e">
        <f t="shared" si="4"/>
        <v>#DIV/0!</v>
      </c>
      <c r="W11" s="41" t="e">
        <f t="shared" si="4"/>
        <v>#DIV/0!</v>
      </c>
      <c r="X11" s="122" t="e">
        <f t="shared" si="8"/>
        <v>#DIV/0!</v>
      </c>
      <c r="Y11" s="123" t="e">
        <f t="shared" si="9"/>
        <v>#DIV/0!</v>
      </c>
      <c r="Z11" s="123" t="e">
        <f t="shared" si="10"/>
        <v>#DIV/0!</v>
      </c>
    </row>
    <row r="12" spans="1:26" x14ac:dyDescent="0.25">
      <c r="A12" s="3" t="s">
        <v>11</v>
      </c>
      <c r="B12" s="13">
        <v>0</v>
      </c>
      <c r="C12" s="13">
        <v>0</v>
      </c>
      <c r="D12" s="13">
        <v>0</v>
      </c>
      <c r="E12" s="55">
        <v>0</v>
      </c>
      <c r="F12" s="8">
        <f t="shared" si="0"/>
        <v>0</v>
      </c>
      <c r="G12" s="8">
        <f t="shared" si="1"/>
        <v>0</v>
      </c>
      <c r="H12" s="8">
        <f t="shared" si="2"/>
        <v>0</v>
      </c>
      <c r="J12" s="119" t="s">
        <v>11</v>
      </c>
      <c r="K12" s="41" t="e">
        <f t="shared" si="3"/>
        <v>#DIV/0!</v>
      </c>
      <c r="L12" s="41" t="e">
        <f t="shared" si="3"/>
        <v>#DIV/0!</v>
      </c>
      <c r="M12" s="41" t="e">
        <f t="shared" si="3"/>
        <v>#DIV/0!</v>
      </c>
      <c r="N12" s="41" t="e">
        <f t="shared" si="3"/>
        <v>#DIV/0!</v>
      </c>
      <c r="O12" s="122" t="e">
        <f t="shared" si="5"/>
        <v>#DIV/0!</v>
      </c>
      <c r="P12" s="123" t="e">
        <f t="shared" si="6"/>
        <v>#DIV/0!</v>
      </c>
      <c r="Q12" s="123" t="e">
        <f t="shared" si="7"/>
        <v>#DIV/0!</v>
      </c>
      <c r="R12" s="117"/>
      <c r="S12" s="119" t="s">
        <v>11</v>
      </c>
      <c r="T12" s="41" t="e">
        <f t="shared" si="4"/>
        <v>#DIV/0!</v>
      </c>
      <c r="U12" s="41" t="e">
        <f t="shared" si="4"/>
        <v>#DIV/0!</v>
      </c>
      <c r="V12" s="41" t="e">
        <f t="shared" si="4"/>
        <v>#DIV/0!</v>
      </c>
      <c r="W12" s="41" t="e">
        <f t="shared" si="4"/>
        <v>#DIV/0!</v>
      </c>
      <c r="X12" s="122" t="e">
        <f t="shared" si="8"/>
        <v>#DIV/0!</v>
      </c>
      <c r="Y12" s="123" t="e">
        <f t="shared" si="9"/>
        <v>#DIV/0!</v>
      </c>
      <c r="Z12" s="123" t="e">
        <f t="shared" si="10"/>
        <v>#DIV/0!</v>
      </c>
    </row>
    <row r="13" spans="1:26" x14ac:dyDescent="0.25">
      <c r="A13" s="3" t="s">
        <v>12</v>
      </c>
      <c r="B13" s="13">
        <v>0</v>
      </c>
      <c r="C13" s="13">
        <v>0</v>
      </c>
      <c r="D13" s="13">
        <v>0</v>
      </c>
      <c r="E13" s="55"/>
      <c r="F13" s="8">
        <f t="shared" si="0"/>
        <v>0</v>
      </c>
      <c r="G13" s="8">
        <f t="shared" si="1"/>
        <v>0</v>
      </c>
      <c r="H13" s="8">
        <f t="shared" si="2"/>
        <v>0</v>
      </c>
      <c r="J13" s="119" t="s">
        <v>12</v>
      </c>
      <c r="K13" s="41" t="e">
        <f t="shared" si="3"/>
        <v>#DIV/0!</v>
      </c>
      <c r="L13" s="41" t="e">
        <f t="shared" si="3"/>
        <v>#DIV/0!</v>
      </c>
      <c r="M13" s="41" t="e">
        <f t="shared" si="3"/>
        <v>#DIV/0!</v>
      </c>
      <c r="N13" s="41"/>
      <c r="O13" s="122" t="e">
        <f t="shared" si="5"/>
        <v>#DIV/0!</v>
      </c>
      <c r="P13" s="123" t="e">
        <f t="shared" si="6"/>
        <v>#DIV/0!</v>
      </c>
      <c r="Q13" s="123" t="e">
        <f t="shared" si="7"/>
        <v>#DIV/0!</v>
      </c>
      <c r="R13" s="117"/>
      <c r="S13" s="119" t="s">
        <v>12</v>
      </c>
      <c r="T13" s="41" t="e">
        <f t="shared" si="4"/>
        <v>#DIV/0!</v>
      </c>
      <c r="U13" s="41" t="e">
        <f t="shared" si="4"/>
        <v>#DIV/0!</v>
      </c>
      <c r="V13" s="41" t="e">
        <f t="shared" si="4"/>
        <v>#DIV/0!</v>
      </c>
      <c r="W13" s="41"/>
      <c r="X13" s="122" t="e">
        <f t="shared" si="8"/>
        <v>#DIV/0!</v>
      </c>
      <c r="Y13" s="123" t="e">
        <f t="shared" si="9"/>
        <v>#DIV/0!</v>
      </c>
      <c r="Z13" s="123" t="e">
        <f t="shared" si="10"/>
        <v>#DIV/0!</v>
      </c>
    </row>
    <row r="14" spans="1:26" ht="15.75" thickBot="1" x14ac:dyDescent="0.3">
      <c r="A14" s="3" t="s">
        <v>13</v>
      </c>
      <c r="B14" s="13">
        <v>0</v>
      </c>
      <c r="C14" s="13">
        <v>0</v>
      </c>
      <c r="D14" s="17">
        <v>0</v>
      </c>
      <c r="E14" s="55"/>
      <c r="F14" s="8">
        <f t="shared" si="0"/>
        <v>0</v>
      </c>
      <c r="G14" s="8">
        <f t="shared" si="1"/>
        <v>0</v>
      </c>
      <c r="H14" s="8">
        <f t="shared" si="2"/>
        <v>0</v>
      </c>
      <c r="J14" s="139" t="s">
        <v>13</v>
      </c>
      <c r="K14" s="66" t="e">
        <f t="shared" si="3"/>
        <v>#DIV/0!</v>
      </c>
      <c r="L14" s="66" t="e">
        <f t="shared" si="3"/>
        <v>#DIV/0!</v>
      </c>
      <c r="M14" s="66" t="e">
        <f t="shared" si="3"/>
        <v>#DIV/0!</v>
      </c>
      <c r="N14" s="66"/>
      <c r="O14" s="122" t="e">
        <f t="shared" si="5"/>
        <v>#DIV/0!</v>
      </c>
      <c r="P14" s="123" t="e">
        <f t="shared" si="6"/>
        <v>#DIV/0!</v>
      </c>
      <c r="Q14" s="123" t="e">
        <f t="shared" si="7"/>
        <v>#DIV/0!</v>
      </c>
      <c r="R14" s="117"/>
      <c r="S14" s="139" t="s">
        <v>13</v>
      </c>
      <c r="T14" s="41" t="e">
        <f t="shared" si="4"/>
        <v>#DIV/0!</v>
      </c>
      <c r="U14" s="41" t="e">
        <f t="shared" si="4"/>
        <v>#DIV/0!</v>
      </c>
      <c r="V14" s="41" t="e">
        <f t="shared" si="4"/>
        <v>#DIV/0!</v>
      </c>
      <c r="W14" s="41"/>
      <c r="X14" s="122" t="e">
        <f t="shared" si="8"/>
        <v>#DIV/0!</v>
      </c>
      <c r="Y14" s="123" t="e">
        <f t="shared" si="9"/>
        <v>#DIV/0!</v>
      </c>
      <c r="Z14" s="123" t="e">
        <f t="shared" si="10"/>
        <v>#DIV/0!</v>
      </c>
    </row>
    <row r="15" spans="1:26" ht="16.5" thickTop="1" thickBot="1" x14ac:dyDescent="0.3">
      <c r="A15" s="9" t="s">
        <v>0</v>
      </c>
      <c r="B15" s="10">
        <f t="shared" ref="B15:E15" si="11">SUM(B3:B14)</f>
        <v>0</v>
      </c>
      <c r="C15" s="10">
        <f t="shared" si="11"/>
        <v>0</v>
      </c>
      <c r="D15" s="10">
        <f t="shared" si="11"/>
        <v>0</v>
      </c>
      <c r="E15" s="10">
        <f t="shared" si="11"/>
        <v>0</v>
      </c>
      <c r="J15" s="138" t="s">
        <v>1</v>
      </c>
      <c r="K15" s="61" t="e">
        <f>AVERAGE(K3:K14)</f>
        <v>#DIV/0!</v>
      </c>
      <c r="L15" s="61" t="e">
        <f t="shared" ref="L15:N15" si="12">AVERAGE(L3:L14)</f>
        <v>#DIV/0!</v>
      </c>
      <c r="M15" s="61" t="e">
        <f t="shared" si="12"/>
        <v>#DIV/0!</v>
      </c>
      <c r="N15" s="61" t="e">
        <f t="shared" si="12"/>
        <v>#DIV/0!</v>
      </c>
      <c r="O15" s="117"/>
      <c r="P15" s="117"/>
      <c r="Q15" s="117"/>
      <c r="R15" s="117"/>
      <c r="S15" s="138" t="s">
        <v>1</v>
      </c>
      <c r="T15" s="61" t="e">
        <f>AVERAGE(T3:T14)</f>
        <v>#DIV/0!</v>
      </c>
      <c r="U15" s="61" t="e">
        <f t="shared" ref="U15:W15" si="13">AVERAGE(U3:U14)</f>
        <v>#DIV/0!</v>
      </c>
      <c r="V15" s="61" t="e">
        <f t="shared" si="13"/>
        <v>#DIV/0!</v>
      </c>
      <c r="W15" s="61" t="e">
        <f t="shared" si="13"/>
        <v>#DIV/0!</v>
      </c>
      <c r="X15" s="117"/>
      <c r="Y15" s="117"/>
      <c r="Z15" s="117"/>
    </row>
    <row r="16" spans="1:26" ht="15.75" thickTop="1" x14ac:dyDescent="0.25">
      <c r="A16" s="1" t="s">
        <v>102</v>
      </c>
      <c r="B16" s="1"/>
      <c r="F16" s="8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25">
      <c r="A17" s="11" t="s">
        <v>15</v>
      </c>
      <c r="B17" s="8">
        <f t="shared" ref="B17:E17" si="14">AVERAGE(B3:B5,B12:B14)</f>
        <v>0</v>
      </c>
      <c r="C17" s="8">
        <f t="shared" si="14"/>
        <v>0</v>
      </c>
      <c r="D17" s="8">
        <f t="shared" si="14"/>
        <v>0</v>
      </c>
      <c r="E17" s="8">
        <f t="shared" si="14"/>
        <v>0</v>
      </c>
      <c r="F17" s="8">
        <f>AVERAGE(B17:D17)</f>
        <v>0</v>
      </c>
      <c r="G17" s="4"/>
      <c r="H17" s="12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25">
      <c r="A18" s="11" t="s">
        <v>16</v>
      </c>
      <c r="B18" s="8">
        <f t="shared" ref="B18:E18" si="15">AVERAGE(B6:B11)</f>
        <v>0</v>
      </c>
      <c r="C18" s="8">
        <f t="shared" si="15"/>
        <v>0</v>
      </c>
      <c r="D18" s="8">
        <f t="shared" si="15"/>
        <v>0</v>
      </c>
      <c r="E18" s="8">
        <f t="shared" si="15"/>
        <v>0</v>
      </c>
      <c r="F18" s="8">
        <f>AVERAGE(B18:D18)</f>
        <v>0</v>
      </c>
      <c r="G18" s="4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thickBot="1" x14ac:dyDescent="0.3"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7.25" thickTop="1" thickBot="1" x14ac:dyDescent="0.3">
      <c r="A20" s="56" t="s">
        <v>108</v>
      </c>
      <c r="B20" s="57"/>
      <c r="C20" s="57"/>
      <c r="D20" s="57"/>
      <c r="E20" s="57"/>
      <c r="F20" s="58"/>
      <c r="J20" s="140" t="s">
        <v>131</v>
      </c>
      <c r="K20" s="141"/>
      <c r="L20" s="141"/>
      <c r="M20" s="141"/>
      <c r="N20" s="141"/>
      <c r="O20" s="142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6.5" thickTop="1" x14ac:dyDescent="0.25">
      <c r="A21" s="49"/>
      <c r="B21" s="50">
        <v>2014</v>
      </c>
      <c r="C21" s="50">
        <v>2015</v>
      </c>
      <c r="D21" s="50">
        <v>2016</v>
      </c>
      <c r="E21" s="50">
        <v>2017</v>
      </c>
      <c r="F21" s="51"/>
      <c r="J21" s="124"/>
      <c r="K21" s="147">
        <v>2014</v>
      </c>
      <c r="L21" s="147">
        <v>2015</v>
      </c>
      <c r="M21" s="147">
        <v>2016</v>
      </c>
      <c r="N21" s="147">
        <v>2017</v>
      </c>
      <c r="O21" s="152" t="s">
        <v>1</v>
      </c>
      <c r="P21" s="86" t="s">
        <v>18</v>
      </c>
      <c r="Q21" s="86" t="s">
        <v>17</v>
      </c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25">
      <c r="A22" s="48" t="s">
        <v>2</v>
      </c>
      <c r="B22" s="55">
        <v>0</v>
      </c>
      <c r="C22" s="55">
        <v>0</v>
      </c>
      <c r="D22" s="55">
        <v>0</v>
      </c>
      <c r="E22" s="65">
        <v>0</v>
      </c>
      <c r="F22" s="64"/>
      <c r="J22" s="119" t="s">
        <v>2</v>
      </c>
      <c r="K22" s="77">
        <f>B3-B58</f>
        <v>-972</v>
      </c>
      <c r="L22" s="77">
        <f t="shared" ref="L22:N33" si="16">C3-C58</f>
        <v>-2074</v>
      </c>
      <c r="M22" s="77">
        <f t="shared" si="16"/>
        <v>-1839</v>
      </c>
      <c r="N22" s="77">
        <f t="shared" si="16"/>
        <v>-1757</v>
      </c>
      <c r="O22" s="166">
        <f>AVERAGE(K22:N22)</f>
        <v>-1660.5</v>
      </c>
      <c r="P22" s="135">
        <f>MAX(K22:N22)</f>
        <v>-972</v>
      </c>
      <c r="Q22" s="135">
        <f>MIN(K22:N22)</f>
        <v>-2074</v>
      </c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25">
      <c r="A23" s="48" t="s">
        <v>3</v>
      </c>
      <c r="B23" s="55">
        <v>0</v>
      </c>
      <c r="C23" s="55">
        <v>0</v>
      </c>
      <c r="D23" s="59">
        <v>0</v>
      </c>
      <c r="E23" s="65">
        <v>0</v>
      </c>
      <c r="F23" s="64"/>
      <c r="G23" s="47"/>
      <c r="H23" s="47"/>
      <c r="I23" s="47"/>
      <c r="J23" s="119" t="s">
        <v>3</v>
      </c>
      <c r="K23" s="77">
        <f t="shared" ref="K23:K33" si="17">B4-B59</f>
        <v>-1711</v>
      </c>
      <c r="L23" s="77">
        <f t="shared" si="16"/>
        <v>-1877</v>
      </c>
      <c r="M23" s="77">
        <f t="shared" si="16"/>
        <v>-1761</v>
      </c>
      <c r="N23" s="77">
        <f t="shared" si="16"/>
        <v>-1694</v>
      </c>
      <c r="O23" s="166">
        <f t="shared" ref="O23:O33" si="18">AVERAGE(K23:N23)</f>
        <v>-1760.75</v>
      </c>
      <c r="P23" s="135">
        <f t="shared" ref="P23:P33" si="19">MAX(K23:N23)</f>
        <v>-1694</v>
      </c>
      <c r="Q23" s="135">
        <f t="shared" ref="Q23:Q33" si="20">MIN(K23:N23)</f>
        <v>-1877</v>
      </c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25">
      <c r="A24" s="48" t="s">
        <v>4</v>
      </c>
      <c r="B24" s="55">
        <v>0</v>
      </c>
      <c r="C24" s="55">
        <v>0</v>
      </c>
      <c r="D24" s="59">
        <v>0</v>
      </c>
      <c r="E24" s="65">
        <v>0</v>
      </c>
      <c r="F24" s="64"/>
      <c r="G24" s="47"/>
      <c r="H24" s="47"/>
      <c r="J24" s="119" t="s">
        <v>4</v>
      </c>
      <c r="K24" s="77">
        <f t="shared" si="17"/>
        <v>-2329</v>
      </c>
      <c r="L24" s="77">
        <f t="shared" si="16"/>
        <v>-2132</v>
      </c>
      <c r="M24" s="77">
        <f t="shared" si="16"/>
        <v>-2309</v>
      </c>
      <c r="N24" s="77">
        <f t="shared" si="16"/>
        <v>-1056</v>
      </c>
      <c r="O24" s="166">
        <f t="shared" si="18"/>
        <v>-1956.5</v>
      </c>
      <c r="P24" s="135">
        <f t="shared" si="19"/>
        <v>-1056</v>
      </c>
      <c r="Q24" s="135">
        <f t="shared" si="20"/>
        <v>-2329</v>
      </c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25">
      <c r="A25" s="48" t="s">
        <v>5</v>
      </c>
      <c r="B25" s="80">
        <v>0</v>
      </c>
      <c r="C25" s="55">
        <v>0</v>
      </c>
      <c r="D25" s="55">
        <v>0</v>
      </c>
      <c r="E25" s="65">
        <v>0</v>
      </c>
      <c r="F25" s="64"/>
      <c r="G25" s="64"/>
      <c r="H25" s="64"/>
      <c r="J25" s="119" t="s">
        <v>5</v>
      </c>
      <c r="K25" s="77">
        <f t="shared" si="17"/>
        <v>-4072</v>
      </c>
      <c r="L25" s="77">
        <f t="shared" si="16"/>
        <v>-4990</v>
      </c>
      <c r="M25" s="77">
        <f t="shared" si="16"/>
        <v>-5154</v>
      </c>
      <c r="N25" s="77">
        <f t="shared" si="16"/>
        <v>-4672</v>
      </c>
      <c r="O25" s="166">
        <f t="shared" si="18"/>
        <v>-4722</v>
      </c>
      <c r="P25" s="135">
        <f t="shared" si="19"/>
        <v>-4072</v>
      </c>
      <c r="Q25" s="135">
        <f t="shared" si="20"/>
        <v>-5154</v>
      </c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25">
      <c r="A26" s="48" t="s">
        <v>6</v>
      </c>
      <c r="B26" s="80">
        <v>0</v>
      </c>
      <c r="C26" s="55">
        <v>0</v>
      </c>
      <c r="D26" s="55">
        <v>0</v>
      </c>
      <c r="E26" s="65">
        <v>0</v>
      </c>
      <c r="F26" s="64"/>
      <c r="G26" s="64"/>
      <c r="H26" s="64"/>
      <c r="J26" s="119" t="s">
        <v>6</v>
      </c>
      <c r="K26" s="77">
        <f t="shared" si="17"/>
        <v>-6986</v>
      </c>
      <c r="L26" s="77">
        <f t="shared" si="16"/>
        <v>-7282</v>
      </c>
      <c r="M26" s="77">
        <f t="shared" si="16"/>
        <v>-5439</v>
      </c>
      <c r="N26" s="77">
        <f t="shared" si="16"/>
        <v>-5110</v>
      </c>
      <c r="O26" s="166">
        <f t="shared" si="18"/>
        <v>-6204.25</v>
      </c>
      <c r="P26" s="135">
        <f t="shared" si="19"/>
        <v>-5110</v>
      </c>
      <c r="Q26" s="135">
        <f t="shared" si="20"/>
        <v>-7282</v>
      </c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25">
      <c r="A27" s="48" t="s">
        <v>7</v>
      </c>
      <c r="B27" s="80">
        <v>0</v>
      </c>
      <c r="C27" s="55">
        <v>0</v>
      </c>
      <c r="D27" s="55">
        <v>0</v>
      </c>
      <c r="E27" s="65">
        <v>0</v>
      </c>
      <c r="F27" s="64"/>
      <c r="G27" s="64"/>
      <c r="H27" s="64"/>
      <c r="J27" s="119" t="s">
        <v>7</v>
      </c>
      <c r="K27" s="77">
        <f t="shared" si="17"/>
        <v>-8150</v>
      </c>
      <c r="L27" s="77">
        <f t="shared" si="16"/>
        <v>-6830</v>
      </c>
      <c r="M27" s="77">
        <f t="shared" si="16"/>
        <v>-6327</v>
      </c>
      <c r="N27" s="77">
        <f t="shared" si="16"/>
        <v>-6574</v>
      </c>
      <c r="O27" s="166">
        <f t="shared" si="18"/>
        <v>-6970.25</v>
      </c>
      <c r="P27" s="135">
        <f t="shared" si="19"/>
        <v>-6327</v>
      </c>
      <c r="Q27" s="135">
        <f t="shared" si="20"/>
        <v>-8150</v>
      </c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25">
      <c r="A28" s="48" t="s">
        <v>8</v>
      </c>
      <c r="B28" s="80">
        <v>0</v>
      </c>
      <c r="C28" s="55">
        <v>0</v>
      </c>
      <c r="D28" s="55">
        <v>0</v>
      </c>
      <c r="E28" s="55">
        <v>0</v>
      </c>
      <c r="F28" s="64"/>
      <c r="G28" s="64"/>
      <c r="H28" s="64"/>
      <c r="J28" s="119" t="s">
        <v>8</v>
      </c>
      <c r="K28" s="77">
        <f t="shared" si="17"/>
        <v>-11299</v>
      </c>
      <c r="L28" s="77">
        <f t="shared" si="16"/>
        <v>-14077</v>
      </c>
      <c r="M28" s="77">
        <f t="shared" si="16"/>
        <v>-13367</v>
      </c>
      <c r="N28" s="77">
        <f t="shared" si="16"/>
        <v>-12371</v>
      </c>
      <c r="O28" s="166">
        <f t="shared" si="18"/>
        <v>-12778.5</v>
      </c>
      <c r="P28" s="135">
        <f t="shared" si="19"/>
        <v>-11299</v>
      </c>
      <c r="Q28" s="135">
        <f t="shared" si="20"/>
        <v>-14077</v>
      </c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25">
      <c r="A29" s="48" t="s">
        <v>9</v>
      </c>
      <c r="B29" s="80">
        <v>0</v>
      </c>
      <c r="C29" s="55">
        <v>0</v>
      </c>
      <c r="D29" s="55">
        <v>0</v>
      </c>
      <c r="E29" s="65">
        <v>0</v>
      </c>
      <c r="F29" s="64"/>
      <c r="G29" s="64"/>
      <c r="H29" s="64"/>
      <c r="J29" s="119" t="s">
        <v>9</v>
      </c>
      <c r="K29" s="77">
        <f t="shared" si="17"/>
        <v>-21762</v>
      </c>
      <c r="L29" s="77">
        <f t="shared" si="16"/>
        <v>-22671</v>
      </c>
      <c r="M29" s="77">
        <f t="shared" si="16"/>
        <v>-13325</v>
      </c>
      <c r="N29" s="77">
        <f t="shared" si="16"/>
        <v>-14435</v>
      </c>
      <c r="O29" s="166">
        <f t="shared" si="18"/>
        <v>-18048.25</v>
      </c>
      <c r="P29" s="135">
        <f t="shared" si="19"/>
        <v>-13325</v>
      </c>
      <c r="Q29" s="135">
        <f t="shared" si="20"/>
        <v>-22671</v>
      </c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25">
      <c r="A30" s="48" t="s">
        <v>10</v>
      </c>
      <c r="B30" s="80">
        <v>0</v>
      </c>
      <c r="C30" s="55">
        <v>0</v>
      </c>
      <c r="D30" s="55">
        <v>0</v>
      </c>
      <c r="E30" s="65">
        <v>0</v>
      </c>
      <c r="F30" s="64"/>
      <c r="G30" s="64"/>
      <c r="H30" s="64"/>
      <c r="J30" s="119" t="s">
        <v>10</v>
      </c>
      <c r="K30" s="77">
        <f t="shared" si="17"/>
        <v>-7493</v>
      </c>
      <c r="L30" s="77">
        <f t="shared" si="16"/>
        <v>-6974</v>
      </c>
      <c r="M30" s="77">
        <f t="shared" si="16"/>
        <v>-6828</v>
      </c>
      <c r="N30" s="77">
        <f t="shared" si="16"/>
        <v>-7332</v>
      </c>
      <c r="O30" s="166">
        <f t="shared" si="18"/>
        <v>-7156.75</v>
      </c>
      <c r="P30" s="135">
        <f t="shared" si="19"/>
        <v>-6828</v>
      </c>
      <c r="Q30" s="135">
        <f t="shared" si="20"/>
        <v>-7493</v>
      </c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25">
      <c r="A31" s="48" t="s">
        <v>11</v>
      </c>
      <c r="B31" s="55">
        <v>0</v>
      </c>
      <c r="C31" s="55">
        <v>0</v>
      </c>
      <c r="D31" s="55">
        <v>0</v>
      </c>
      <c r="E31" s="65">
        <v>0</v>
      </c>
      <c r="F31" s="64"/>
      <c r="G31" s="64"/>
      <c r="H31" s="64"/>
      <c r="J31" s="119" t="s">
        <v>11</v>
      </c>
      <c r="K31" s="77">
        <f t="shared" si="17"/>
        <v>-5439</v>
      </c>
      <c r="L31" s="77">
        <f t="shared" si="16"/>
        <v>-5344</v>
      </c>
      <c r="M31" s="77">
        <f t="shared" si="16"/>
        <v>-5199</v>
      </c>
      <c r="N31" s="77">
        <f t="shared" si="16"/>
        <v>-5293</v>
      </c>
      <c r="O31" s="166">
        <f t="shared" si="18"/>
        <v>-5318.75</v>
      </c>
      <c r="P31" s="135">
        <f t="shared" si="19"/>
        <v>-5199</v>
      </c>
      <c r="Q31" s="135">
        <f t="shared" si="20"/>
        <v>-5439</v>
      </c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25">
      <c r="A32" s="48" t="s">
        <v>12</v>
      </c>
      <c r="B32" s="55">
        <v>0</v>
      </c>
      <c r="C32" s="55">
        <v>0</v>
      </c>
      <c r="D32" s="55">
        <v>0</v>
      </c>
      <c r="E32" s="55"/>
      <c r="F32" s="64"/>
      <c r="G32" s="64"/>
      <c r="H32" s="64"/>
      <c r="J32" s="119" t="s">
        <v>12</v>
      </c>
      <c r="K32" s="77">
        <f t="shared" si="17"/>
        <v>-2645</v>
      </c>
      <c r="L32" s="77">
        <f t="shared" si="16"/>
        <v>-1991</v>
      </c>
      <c r="M32" s="77">
        <f t="shared" si="16"/>
        <v>-2311</v>
      </c>
      <c r="N32" s="77"/>
      <c r="O32" s="166">
        <f t="shared" si="18"/>
        <v>-2315.6666666666665</v>
      </c>
      <c r="P32" s="135">
        <f t="shared" si="19"/>
        <v>-1991</v>
      </c>
      <c r="Q32" s="135">
        <f t="shared" si="20"/>
        <v>-2645</v>
      </c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thickBot="1" x14ac:dyDescent="0.3">
      <c r="A33" s="48" t="s">
        <v>13</v>
      </c>
      <c r="B33" s="55">
        <v>0</v>
      </c>
      <c r="C33" s="55">
        <v>0</v>
      </c>
      <c r="D33" s="60">
        <v>0</v>
      </c>
      <c r="E33" s="60"/>
      <c r="F33" s="64"/>
      <c r="G33" s="64"/>
      <c r="H33" s="64"/>
      <c r="J33" s="139" t="s">
        <v>13</v>
      </c>
      <c r="K33" s="43">
        <f t="shared" si="17"/>
        <v>-2841</v>
      </c>
      <c r="L33" s="43">
        <f t="shared" si="16"/>
        <v>-2848</v>
      </c>
      <c r="M33" s="43">
        <f t="shared" si="16"/>
        <v>-3087</v>
      </c>
      <c r="N33" s="43"/>
      <c r="O33" s="92">
        <f t="shared" si="18"/>
        <v>-2925.3333333333335</v>
      </c>
      <c r="P33" s="135">
        <f t="shared" si="19"/>
        <v>-2841</v>
      </c>
      <c r="Q33" s="135">
        <f t="shared" si="20"/>
        <v>-3087</v>
      </c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6.5" thickTop="1" thickBot="1" x14ac:dyDescent="0.3">
      <c r="A34" s="53" t="s">
        <v>0</v>
      </c>
      <c r="B34" s="54">
        <v>1034</v>
      </c>
      <c r="C34" s="54">
        <v>0</v>
      </c>
      <c r="D34" s="54">
        <v>0</v>
      </c>
      <c r="E34" s="54">
        <v>0</v>
      </c>
      <c r="F34" s="47"/>
      <c r="G34" s="64"/>
      <c r="H34" s="64"/>
      <c r="J34" s="138" t="s">
        <v>0</v>
      </c>
      <c r="K34" s="137">
        <f>SUM(K22:K33)</f>
        <v>-75699</v>
      </c>
      <c r="L34" s="137">
        <f>SUM(L22:L33)</f>
        <v>-79090</v>
      </c>
      <c r="M34" s="137">
        <f>SUM(M22:M33)</f>
        <v>-66946</v>
      </c>
      <c r="N34" s="137">
        <f>SUM(N22:N33)</f>
        <v>-60294</v>
      </c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thickTop="1" x14ac:dyDescent="0.25">
      <c r="A35" s="1" t="s">
        <v>14</v>
      </c>
      <c r="B35" s="1"/>
      <c r="C35" s="1"/>
      <c r="D35" s="1"/>
      <c r="E35" s="1"/>
      <c r="F35" s="1"/>
      <c r="G35" s="64"/>
      <c r="H35" s="64"/>
    </row>
    <row r="36" spans="1:26" x14ac:dyDescent="0.25">
      <c r="G36" s="64"/>
      <c r="H36" s="64"/>
    </row>
    <row r="37" spans="1:26" x14ac:dyDescent="0.25">
      <c r="G37" s="47"/>
      <c r="H37" s="47"/>
    </row>
    <row r="38" spans="1:26" ht="15.75" thickBot="1" x14ac:dyDescent="0.3">
      <c r="G38" s="47"/>
      <c r="H38" s="47"/>
      <c r="I38" s="47"/>
      <c r="J38" s="52"/>
      <c r="K38" s="47"/>
      <c r="L38" s="47"/>
    </row>
    <row r="39" spans="1:26" ht="17.25" thickTop="1" thickBot="1" x14ac:dyDescent="0.3">
      <c r="A39" s="74" t="s">
        <v>80</v>
      </c>
      <c r="B39" s="75"/>
      <c r="C39" s="75"/>
      <c r="D39" s="75"/>
      <c r="E39" s="75"/>
      <c r="F39" s="76"/>
      <c r="G39" s="64"/>
      <c r="H39" s="64"/>
      <c r="I39" s="52"/>
      <c r="J39" s="149" t="s">
        <v>252</v>
      </c>
      <c r="K39" s="164"/>
      <c r="L39" s="164"/>
      <c r="M39" s="164"/>
      <c r="N39" s="164"/>
    </row>
    <row r="40" spans="1:26" ht="16.5" thickTop="1" x14ac:dyDescent="0.25">
      <c r="A40" s="70"/>
      <c r="B40" s="71">
        <v>2014</v>
      </c>
      <c r="C40" s="71">
        <v>2015</v>
      </c>
      <c r="D40" s="71">
        <v>2016</v>
      </c>
      <c r="E40" s="71">
        <v>2017</v>
      </c>
      <c r="G40" s="64"/>
      <c r="H40" s="64"/>
      <c r="I40" s="52"/>
      <c r="J40" s="151"/>
      <c r="K40" s="147">
        <v>2014</v>
      </c>
      <c r="L40" s="147">
        <v>2015</v>
      </c>
      <c r="M40" s="147">
        <v>2016</v>
      </c>
      <c r="N40" s="147">
        <v>2017</v>
      </c>
    </row>
    <row r="41" spans="1:26" x14ac:dyDescent="0.25">
      <c r="A41" s="69" t="s">
        <v>2</v>
      </c>
      <c r="B41" s="81">
        <v>972</v>
      </c>
      <c r="C41" s="81">
        <v>2074</v>
      </c>
      <c r="D41" s="81">
        <v>1839</v>
      </c>
      <c r="E41" s="81">
        <v>1757</v>
      </c>
      <c r="J41" s="153" t="s">
        <v>2</v>
      </c>
      <c r="K41" s="77">
        <f>-1*K22</f>
        <v>972</v>
      </c>
      <c r="L41" s="77">
        <f t="shared" ref="L41:N41" si="21">-1*L22</f>
        <v>2074</v>
      </c>
      <c r="M41" s="77">
        <f t="shared" si="21"/>
        <v>1839</v>
      </c>
      <c r="N41" s="77">
        <f t="shared" si="21"/>
        <v>1757</v>
      </c>
    </row>
    <row r="42" spans="1:26" x14ac:dyDescent="0.25">
      <c r="A42" s="69" t="s">
        <v>3</v>
      </c>
      <c r="B42" s="81">
        <v>1711</v>
      </c>
      <c r="C42" s="81">
        <v>1877</v>
      </c>
      <c r="D42" s="81">
        <v>1761</v>
      </c>
      <c r="E42" s="81">
        <v>1694</v>
      </c>
      <c r="J42" s="153" t="s">
        <v>3</v>
      </c>
      <c r="K42" s="77">
        <f t="shared" ref="K42:N52" si="22">-1*K23</f>
        <v>1711</v>
      </c>
      <c r="L42" s="77">
        <f t="shared" si="22"/>
        <v>1877</v>
      </c>
      <c r="M42" s="77">
        <f t="shared" si="22"/>
        <v>1761</v>
      </c>
      <c r="N42" s="77">
        <f t="shared" si="22"/>
        <v>1694</v>
      </c>
    </row>
    <row r="43" spans="1:26" x14ac:dyDescent="0.25">
      <c r="A43" s="69" t="s">
        <v>4</v>
      </c>
      <c r="B43" s="81">
        <v>2329</v>
      </c>
      <c r="C43" s="81">
        <v>2132</v>
      </c>
      <c r="D43" s="81">
        <v>2309</v>
      </c>
      <c r="E43" s="81">
        <v>1056</v>
      </c>
      <c r="J43" s="153" t="s">
        <v>4</v>
      </c>
      <c r="K43" s="77">
        <f t="shared" si="22"/>
        <v>2329</v>
      </c>
      <c r="L43" s="77">
        <f t="shared" si="22"/>
        <v>2132</v>
      </c>
      <c r="M43" s="77">
        <f t="shared" si="22"/>
        <v>2309</v>
      </c>
      <c r="N43" s="77">
        <f t="shared" si="22"/>
        <v>1056</v>
      </c>
    </row>
    <row r="44" spans="1:26" x14ac:dyDescent="0.25">
      <c r="A44" s="69" t="s">
        <v>5</v>
      </c>
      <c r="B44" s="81">
        <v>4072</v>
      </c>
      <c r="C44" s="81">
        <v>4990</v>
      </c>
      <c r="D44" s="81">
        <v>5154</v>
      </c>
      <c r="E44" s="81">
        <v>4672</v>
      </c>
      <c r="J44" s="153" t="s">
        <v>5</v>
      </c>
      <c r="K44" s="77">
        <f t="shared" si="22"/>
        <v>4072</v>
      </c>
      <c r="L44" s="77">
        <f t="shared" si="22"/>
        <v>4990</v>
      </c>
      <c r="M44" s="77">
        <f t="shared" si="22"/>
        <v>5154</v>
      </c>
      <c r="N44" s="77">
        <f t="shared" si="22"/>
        <v>4672</v>
      </c>
    </row>
    <row r="45" spans="1:26" x14ac:dyDescent="0.25">
      <c r="A45" s="69" t="s">
        <v>6</v>
      </c>
      <c r="B45" s="81">
        <v>6986</v>
      </c>
      <c r="C45" s="81">
        <v>7282</v>
      </c>
      <c r="D45" s="81">
        <v>5439</v>
      </c>
      <c r="E45" s="81">
        <v>5110</v>
      </c>
      <c r="G45" s="68"/>
      <c r="J45" s="153" t="s">
        <v>6</v>
      </c>
      <c r="K45" s="77">
        <f t="shared" si="22"/>
        <v>6986</v>
      </c>
      <c r="L45" s="77">
        <f t="shared" si="22"/>
        <v>7282</v>
      </c>
      <c r="M45" s="77">
        <f t="shared" si="22"/>
        <v>5439</v>
      </c>
      <c r="N45" s="77">
        <f t="shared" si="22"/>
        <v>5110</v>
      </c>
      <c r="O45" s="78"/>
      <c r="P45" s="78"/>
    </row>
    <row r="46" spans="1:26" x14ac:dyDescent="0.25">
      <c r="A46" s="69" t="s">
        <v>7</v>
      </c>
      <c r="B46" s="81">
        <v>8150</v>
      </c>
      <c r="C46" s="81">
        <v>6830</v>
      </c>
      <c r="D46" s="81">
        <v>6327</v>
      </c>
      <c r="E46" s="81">
        <v>6574</v>
      </c>
      <c r="J46" s="153" t="s">
        <v>7</v>
      </c>
      <c r="K46" s="77">
        <f t="shared" si="22"/>
        <v>8150</v>
      </c>
      <c r="L46" s="77">
        <f t="shared" si="22"/>
        <v>6830</v>
      </c>
      <c r="M46" s="77">
        <f t="shared" si="22"/>
        <v>6327</v>
      </c>
      <c r="N46" s="77">
        <f t="shared" si="22"/>
        <v>6574</v>
      </c>
    </row>
    <row r="47" spans="1:26" x14ac:dyDescent="0.25">
      <c r="A47" s="69" t="s">
        <v>8</v>
      </c>
      <c r="B47" s="81">
        <v>11299</v>
      </c>
      <c r="C47" s="81">
        <v>14077</v>
      </c>
      <c r="D47" s="81">
        <v>13367</v>
      </c>
      <c r="E47" s="81">
        <v>12371</v>
      </c>
      <c r="J47" s="153" t="s">
        <v>8</v>
      </c>
      <c r="K47" s="77">
        <f t="shared" si="22"/>
        <v>11299</v>
      </c>
      <c r="L47" s="77">
        <f t="shared" si="22"/>
        <v>14077</v>
      </c>
      <c r="M47" s="77">
        <f t="shared" si="22"/>
        <v>13367</v>
      </c>
      <c r="N47" s="77">
        <f t="shared" si="22"/>
        <v>12371</v>
      </c>
    </row>
    <row r="48" spans="1:26" x14ac:dyDescent="0.25">
      <c r="A48" s="69" t="s">
        <v>9</v>
      </c>
      <c r="B48" s="81">
        <v>21762</v>
      </c>
      <c r="C48" s="81">
        <v>22671</v>
      </c>
      <c r="D48" s="81">
        <v>13325</v>
      </c>
      <c r="E48" s="81">
        <v>14435</v>
      </c>
      <c r="J48" s="153" t="s">
        <v>9</v>
      </c>
      <c r="K48" s="77">
        <f t="shared" si="22"/>
        <v>21762</v>
      </c>
      <c r="L48" s="77">
        <f t="shared" si="22"/>
        <v>22671</v>
      </c>
      <c r="M48" s="77">
        <f t="shared" si="22"/>
        <v>13325</v>
      </c>
      <c r="N48" s="77">
        <f t="shared" si="22"/>
        <v>14435</v>
      </c>
    </row>
    <row r="49" spans="1:16" x14ac:dyDescent="0.25">
      <c r="A49" s="69" t="s">
        <v>10</v>
      </c>
      <c r="B49" s="81">
        <v>7493</v>
      </c>
      <c r="C49" s="81">
        <v>6974</v>
      </c>
      <c r="D49" s="81">
        <v>6828</v>
      </c>
      <c r="E49" s="81">
        <v>7332</v>
      </c>
      <c r="J49" s="153" t="s">
        <v>10</v>
      </c>
      <c r="K49" s="77">
        <f t="shared" si="22"/>
        <v>7493</v>
      </c>
      <c r="L49" s="77">
        <f t="shared" si="22"/>
        <v>6974</v>
      </c>
      <c r="M49" s="77">
        <f t="shared" si="22"/>
        <v>6828</v>
      </c>
      <c r="N49" s="77">
        <f t="shared" si="22"/>
        <v>7332</v>
      </c>
    </row>
    <row r="50" spans="1:16" x14ac:dyDescent="0.25">
      <c r="A50" s="69" t="s">
        <v>11</v>
      </c>
      <c r="B50" s="81">
        <v>5439</v>
      </c>
      <c r="C50" s="81">
        <v>5344</v>
      </c>
      <c r="D50" s="81">
        <v>5199</v>
      </c>
      <c r="E50" s="81">
        <v>5293</v>
      </c>
      <c r="J50" s="153" t="s">
        <v>11</v>
      </c>
      <c r="K50" s="77">
        <f t="shared" si="22"/>
        <v>5439</v>
      </c>
      <c r="L50" s="77">
        <f t="shared" si="22"/>
        <v>5344</v>
      </c>
      <c r="M50" s="77">
        <f t="shared" si="22"/>
        <v>5199</v>
      </c>
      <c r="N50" s="77">
        <f t="shared" si="22"/>
        <v>5293</v>
      </c>
    </row>
    <row r="51" spans="1:16" x14ac:dyDescent="0.25">
      <c r="A51" s="69" t="s">
        <v>12</v>
      </c>
      <c r="B51" s="81">
        <v>2645</v>
      </c>
      <c r="C51" s="81">
        <v>1991</v>
      </c>
      <c r="D51" s="81">
        <v>2311</v>
      </c>
      <c r="E51" s="113">
        <v>6209</v>
      </c>
      <c r="J51" s="153" t="s">
        <v>12</v>
      </c>
      <c r="K51" s="77">
        <f t="shared" si="22"/>
        <v>2645</v>
      </c>
      <c r="L51" s="77">
        <f t="shared" si="22"/>
        <v>1991</v>
      </c>
      <c r="M51" s="77">
        <f t="shared" si="22"/>
        <v>2311</v>
      </c>
      <c r="N51" s="77"/>
    </row>
    <row r="52" spans="1:16" ht="15.75" thickBot="1" x14ac:dyDescent="0.3">
      <c r="A52" s="69" t="s">
        <v>13</v>
      </c>
      <c r="B52" s="81">
        <v>2841</v>
      </c>
      <c r="C52" s="81">
        <v>2848</v>
      </c>
      <c r="D52" s="81">
        <v>3087</v>
      </c>
      <c r="E52" s="81"/>
      <c r="J52" s="168" t="s">
        <v>13</v>
      </c>
      <c r="K52" s="43">
        <f t="shared" si="22"/>
        <v>2841</v>
      </c>
      <c r="L52" s="43">
        <f t="shared" si="22"/>
        <v>2848</v>
      </c>
      <c r="M52" s="43">
        <f t="shared" si="22"/>
        <v>3087</v>
      </c>
      <c r="N52" s="43"/>
    </row>
    <row r="53" spans="1:16" ht="16.5" thickTop="1" thickBot="1" x14ac:dyDescent="0.3">
      <c r="A53" s="72" t="s">
        <v>0</v>
      </c>
      <c r="B53" s="73">
        <v>75699</v>
      </c>
      <c r="C53" s="73">
        <v>79090</v>
      </c>
      <c r="D53" s="73">
        <v>66946</v>
      </c>
      <c r="E53" s="73">
        <v>17664</v>
      </c>
      <c r="J53" s="169" t="s">
        <v>0</v>
      </c>
      <c r="K53" s="170">
        <f>SUM(K41:K52)</f>
        <v>75699</v>
      </c>
      <c r="L53" s="170">
        <f>SUM(L41:L52)</f>
        <v>79090</v>
      </c>
      <c r="M53" s="170">
        <f>SUM(M41:M52)</f>
        <v>66946</v>
      </c>
      <c r="N53" s="170">
        <f>SUM(N41:N52)</f>
        <v>60294</v>
      </c>
    </row>
    <row r="54" spans="1:16" ht="15.75" thickTop="1" x14ac:dyDescent="0.25">
      <c r="A54" s="1" t="s">
        <v>14</v>
      </c>
      <c r="B54" s="1"/>
      <c r="C54" s="1"/>
      <c r="D54" s="1"/>
      <c r="E54" s="1"/>
      <c r="F54" s="1"/>
    </row>
    <row r="55" spans="1:16" ht="15.75" thickBot="1" x14ac:dyDescent="0.3"/>
    <row r="56" spans="1:16" ht="17.25" thickTop="1" thickBot="1" x14ac:dyDescent="0.3">
      <c r="A56" s="140" t="s">
        <v>78</v>
      </c>
      <c r="B56" s="141"/>
      <c r="C56" s="141"/>
      <c r="D56" s="141"/>
      <c r="E56" s="141"/>
    </row>
    <row r="57" spans="1:16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</row>
    <row r="58" spans="1:16" x14ac:dyDescent="0.25">
      <c r="A58" s="119" t="s">
        <v>2</v>
      </c>
      <c r="B58" s="84">
        <f t="shared" ref="B58:E69" si="23">B22+B41</f>
        <v>972</v>
      </c>
      <c r="C58" s="84">
        <f t="shared" si="23"/>
        <v>2074</v>
      </c>
      <c r="D58" s="84">
        <f t="shared" si="23"/>
        <v>1839</v>
      </c>
      <c r="E58" s="84">
        <f t="shared" si="23"/>
        <v>1757</v>
      </c>
    </row>
    <row r="59" spans="1:16" x14ac:dyDescent="0.25">
      <c r="A59" s="119" t="s">
        <v>3</v>
      </c>
      <c r="B59" s="84">
        <f t="shared" si="23"/>
        <v>1711</v>
      </c>
      <c r="C59" s="84">
        <f t="shared" si="23"/>
        <v>1877</v>
      </c>
      <c r="D59" s="84">
        <f t="shared" si="23"/>
        <v>1761</v>
      </c>
      <c r="E59" s="84">
        <f t="shared" si="23"/>
        <v>1694</v>
      </c>
    </row>
    <row r="60" spans="1:16" x14ac:dyDescent="0.25">
      <c r="A60" s="119" t="s">
        <v>4</v>
      </c>
      <c r="B60" s="84">
        <f t="shared" si="23"/>
        <v>2329</v>
      </c>
      <c r="C60" s="84">
        <f t="shared" si="23"/>
        <v>2132</v>
      </c>
      <c r="D60" s="84">
        <f t="shared" si="23"/>
        <v>2309</v>
      </c>
      <c r="E60" s="84">
        <f t="shared" si="23"/>
        <v>1056</v>
      </c>
      <c r="N60" s="78"/>
      <c r="O60" s="78"/>
      <c r="P60" s="78"/>
    </row>
    <row r="61" spans="1:16" x14ac:dyDescent="0.25">
      <c r="A61" s="119" t="s">
        <v>5</v>
      </c>
      <c r="B61" s="84">
        <f t="shared" si="23"/>
        <v>4072</v>
      </c>
      <c r="C61" s="84">
        <f t="shared" si="23"/>
        <v>4990</v>
      </c>
      <c r="D61" s="84">
        <f t="shared" si="23"/>
        <v>5154</v>
      </c>
      <c r="E61" s="84">
        <f t="shared" si="23"/>
        <v>4672</v>
      </c>
    </row>
    <row r="62" spans="1:16" x14ac:dyDescent="0.25">
      <c r="A62" s="119" t="s">
        <v>6</v>
      </c>
      <c r="B62" s="84">
        <f t="shared" si="23"/>
        <v>6986</v>
      </c>
      <c r="C62" s="84">
        <f t="shared" si="23"/>
        <v>7282</v>
      </c>
      <c r="D62" s="84">
        <f t="shared" si="23"/>
        <v>5439</v>
      </c>
      <c r="E62" s="84">
        <f t="shared" si="23"/>
        <v>5110</v>
      </c>
    </row>
    <row r="63" spans="1:16" x14ac:dyDescent="0.25">
      <c r="A63" s="119" t="s">
        <v>7</v>
      </c>
      <c r="B63" s="84">
        <f t="shared" si="23"/>
        <v>8150</v>
      </c>
      <c r="C63" s="84">
        <f t="shared" si="23"/>
        <v>6830</v>
      </c>
      <c r="D63" s="84">
        <f t="shared" si="23"/>
        <v>6327</v>
      </c>
      <c r="E63" s="84">
        <f t="shared" si="23"/>
        <v>6574</v>
      </c>
    </row>
    <row r="64" spans="1:16" x14ac:dyDescent="0.25">
      <c r="A64" s="119" t="s">
        <v>8</v>
      </c>
      <c r="B64" s="84">
        <f t="shared" si="23"/>
        <v>11299</v>
      </c>
      <c r="C64" s="84">
        <f t="shared" si="23"/>
        <v>14077</v>
      </c>
      <c r="D64" s="84">
        <f t="shared" si="23"/>
        <v>13367</v>
      </c>
      <c r="E64" s="84">
        <f t="shared" si="23"/>
        <v>12371</v>
      </c>
    </row>
    <row r="65" spans="1:5" x14ac:dyDescent="0.25">
      <c r="A65" s="119" t="s">
        <v>9</v>
      </c>
      <c r="B65" s="84">
        <f t="shared" si="23"/>
        <v>21762</v>
      </c>
      <c r="C65" s="84">
        <f t="shared" si="23"/>
        <v>22671</v>
      </c>
      <c r="D65" s="84">
        <f t="shared" si="23"/>
        <v>13325</v>
      </c>
      <c r="E65" s="84">
        <f t="shared" si="23"/>
        <v>14435</v>
      </c>
    </row>
    <row r="66" spans="1:5" x14ac:dyDescent="0.25">
      <c r="A66" s="119" t="s">
        <v>10</v>
      </c>
      <c r="B66" s="84">
        <f t="shared" si="23"/>
        <v>7493</v>
      </c>
      <c r="C66" s="84">
        <f t="shared" si="23"/>
        <v>6974</v>
      </c>
      <c r="D66" s="84">
        <f t="shared" si="23"/>
        <v>6828</v>
      </c>
      <c r="E66" s="84">
        <f t="shared" si="23"/>
        <v>7332</v>
      </c>
    </row>
    <row r="67" spans="1:5" x14ac:dyDescent="0.25">
      <c r="A67" s="119" t="s">
        <v>11</v>
      </c>
      <c r="B67" s="84">
        <f t="shared" si="23"/>
        <v>5439</v>
      </c>
      <c r="C67" s="84">
        <f t="shared" si="23"/>
        <v>5344</v>
      </c>
      <c r="D67" s="84">
        <f t="shared" si="23"/>
        <v>5199</v>
      </c>
      <c r="E67" s="84">
        <f t="shared" si="23"/>
        <v>5293</v>
      </c>
    </row>
    <row r="68" spans="1:5" x14ac:dyDescent="0.25">
      <c r="A68" s="119" t="s">
        <v>12</v>
      </c>
      <c r="B68" s="84">
        <f t="shared" si="23"/>
        <v>2645</v>
      </c>
      <c r="C68" s="84">
        <f t="shared" si="23"/>
        <v>1991</v>
      </c>
      <c r="D68" s="84">
        <f t="shared" si="23"/>
        <v>2311</v>
      </c>
      <c r="E68" s="84">
        <f t="shared" si="23"/>
        <v>6209</v>
      </c>
    </row>
    <row r="69" spans="1:5" ht="15.75" thickBot="1" x14ac:dyDescent="0.3">
      <c r="A69" s="119" t="s">
        <v>13</v>
      </c>
      <c r="B69" s="84">
        <f t="shared" si="23"/>
        <v>2841</v>
      </c>
      <c r="C69" s="84">
        <f t="shared" si="23"/>
        <v>2848</v>
      </c>
      <c r="D69" s="84">
        <f t="shared" si="23"/>
        <v>3087</v>
      </c>
      <c r="E69" s="84">
        <f t="shared" si="23"/>
        <v>0</v>
      </c>
    </row>
    <row r="70" spans="1:5" ht="16.5" thickTop="1" thickBot="1" x14ac:dyDescent="0.3">
      <c r="A70" s="128" t="s">
        <v>0</v>
      </c>
      <c r="B70" s="129">
        <f t="shared" ref="B70:D70" si="24">SUM(B58:B69)</f>
        <v>75699</v>
      </c>
      <c r="C70" s="129">
        <f t="shared" si="24"/>
        <v>79090</v>
      </c>
      <c r="D70" s="129">
        <f t="shared" si="24"/>
        <v>66946</v>
      </c>
      <c r="E70" s="129">
        <f>SUM(E58:E69)</f>
        <v>66503</v>
      </c>
    </row>
    <row r="71" spans="1:5" ht="15.75" thickTop="1" x14ac:dyDescent="0.25"/>
  </sheetData>
  <mergeCells count="3">
    <mergeCell ref="A16:B16"/>
    <mergeCell ref="A35:F35"/>
    <mergeCell ref="A54:F54"/>
  </mergeCells>
  <conditionalFormatting sqref="K22:O34">
    <cfRule type="cellIs" dxfId="9" priority="5" operator="lessThan">
      <formula>0</formula>
    </cfRule>
    <cfRule type="cellIs" dxfId="8" priority="7" operator="lessThan">
      <formula>0</formula>
    </cfRule>
    <cfRule type="cellIs" dxfId="7" priority="8" operator="lessThan">
      <formula>0</formula>
    </cfRule>
  </conditionalFormatting>
  <conditionalFormatting sqref="T3:X15">
    <cfRule type="cellIs" dxfId="6" priority="6" operator="greaterThan">
      <formula>1</formula>
    </cfRule>
  </conditionalFormatting>
  <conditionalFormatting sqref="K53:N53">
    <cfRule type="cellIs" dxfId="5" priority="3" operator="lessThan">
      <formula>0</formula>
    </cfRule>
  </conditionalFormatting>
  <conditionalFormatting sqref="K41:N52">
    <cfRule type="cellIs" dxfId="4" priority="2" operator="greaterThan">
      <formula>0</formula>
    </cfRule>
  </conditionalFormatting>
  <conditionalFormatting sqref="K41:N53">
    <cfRule type="cellIs" dxfId="3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opLeftCell="A25" zoomScale="50" zoomScaleNormal="50" workbookViewId="0">
      <selection activeCell="U80" sqref="U80"/>
    </sheetView>
  </sheetViews>
  <sheetFormatPr baseColWidth="10" defaultColWidth="11.42578125" defaultRowHeight="15" x14ac:dyDescent="0.25"/>
  <cols>
    <col min="1" max="16384" width="11.42578125" style="117"/>
  </cols>
  <sheetData>
    <row r="1" spans="1:8" ht="17.25" thickTop="1" thickBot="1" x14ac:dyDescent="0.3">
      <c r="A1" s="140" t="s">
        <v>106</v>
      </c>
      <c r="B1" s="142"/>
    </row>
    <row r="2" spans="1:8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</row>
    <row r="3" spans="1:8" x14ac:dyDescent="0.25">
      <c r="A3" s="119" t="s">
        <v>2</v>
      </c>
      <c r="B3" s="132">
        <v>0</v>
      </c>
      <c r="C3" s="132">
        <v>0</v>
      </c>
      <c r="D3" s="132">
        <v>0</v>
      </c>
      <c r="E3" s="132">
        <v>0</v>
      </c>
      <c r="F3" s="127">
        <f t="shared" ref="F3:F14" si="0">AVERAGE(B3:E3)</f>
        <v>0</v>
      </c>
      <c r="G3" s="127">
        <f t="shared" ref="G3:G14" si="1">STDEVA(B3:E3)</f>
        <v>0</v>
      </c>
      <c r="H3" s="127">
        <f t="shared" ref="H3:H14" si="2">STDEVA(B3:E3)</f>
        <v>0</v>
      </c>
    </row>
    <row r="4" spans="1:8" x14ac:dyDescent="0.25">
      <c r="A4" s="119" t="s">
        <v>3</v>
      </c>
      <c r="B4" s="132">
        <v>0</v>
      </c>
      <c r="C4" s="132">
        <v>0</v>
      </c>
      <c r="D4" s="59">
        <v>0</v>
      </c>
      <c r="E4" s="132">
        <v>0</v>
      </c>
      <c r="F4" s="127">
        <f t="shared" si="0"/>
        <v>0</v>
      </c>
      <c r="G4" s="127">
        <f t="shared" si="1"/>
        <v>0</v>
      </c>
      <c r="H4" s="127">
        <f t="shared" si="2"/>
        <v>0</v>
      </c>
    </row>
    <row r="5" spans="1:8" x14ac:dyDescent="0.25">
      <c r="A5" s="119" t="s">
        <v>4</v>
      </c>
      <c r="B5" s="132">
        <v>0</v>
      </c>
      <c r="C5" s="132">
        <v>0</v>
      </c>
      <c r="D5" s="59">
        <v>0</v>
      </c>
      <c r="E5" s="132">
        <v>0</v>
      </c>
      <c r="F5" s="127">
        <f t="shared" si="0"/>
        <v>0</v>
      </c>
      <c r="G5" s="127">
        <f t="shared" si="1"/>
        <v>0</v>
      </c>
      <c r="H5" s="127">
        <f t="shared" si="2"/>
        <v>0</v>
      </c>
    </row>
    <row r="6" spans="1:8" x14ac:dyDescent="0.25">
      <c r="A6" s="119" t="s">
        <v>5</v>
      </c>
      <c r="B6" s="132">
        <v>0</v>
      </c>
      <c r="C6" s="132">
        <v>0</v>
      </c>
      <c r="D6" s="132">
        <v>0</v>
      </c>
      <c r="E6" s="132">
        <v>0</v>
      </c>
      <c r="F6" s="127">
        <f t="shared" si="0"/>
        <v>0</v>
      </c>
      <c r="G6" s="127">
        <f t="shared" si="1"/>
        <v>0</v>
      </c>
      <c r="H6" s="127">
        <f t="shared" si="2"/>
        <v>0</v>
      </c>
    </row>
    <row r="7" spans="1:8" x14ac:dyDescent="0.25">
      <c r="A7" s="119" t="s">
        <v>6</v>
      </c>
      <c r="B7" s="132">
        <v>0</v>
      </c>
      <c r="C7" s="132">
        <v>0</v>
      </c>
      <c r="D7" s="132">
        <v>0</v>
      </c>
      <c r="E7" s="132">
        <v>0</v>
      </c>
      <c r="F7" s="127">
        <f t="shared" si="0"/>
        <v>0</v>
      </c>
      <c r="G7" s="127">
        <f t="shared" si="1"/>
        <v>0</v>
      </c>
      <c r="H7" s="127">
        <f t="shared" si="2"/>
        <v>0</v>
      </c>
    </row>
    <row r="8" spans="1:8" x14ac:dyDescent="0.25">
      <c r="A8" s="119" t="s">
        <v>7</v>
      </c>
      <c r="B8" s="132">
        <v>0</v>
      </c>
      <c r="C8" s="132">
        <v>0</v>
      </c>
      <c r="D8" s="132">
        <v>0</v>
      </c>
      <c r="E8" s="132">
        <v>0</v>
      </c>
      <c r="F8" s="127">
        <f t="shared" si="0"/>
        <v>0</v>
      </c>
      <c r="G8" s="127">
        <f t="shared" si="1"/>
        <v>0</v>
      </c>
      <c r="H8" s="127">
        <f t="shared" si="2"/>
        <v>0</v>
      </c>
    </row>
    <row r="9" spans="1:8" x14ac:dyDescent="0.25">
      <c r="A9" s="119" t="s">
        <v>8</v>
      </c>
      <c r="B9" s="132">
        <v>0</v>
      </c>
      <c r="C9" s="132">
        <v>0</v>
      </c>
      <c r="D9" s="132">
        <v>0</v>
      </c>
      <c r="E9" s="132">
        <v>0</v>
      </c>
      <c r="F9" s="127">
        <f t="shared" si="0"/>
        <v>0</v>
      </c>
      <c r="G9" s="127">
        <f t="shared" si="1"/>
        <v>0</v>
      </c>
      <c r="H9" s="127">
        <f t="shared" si="2"/>
        <v>0</v>
      </c>
    </row>
    <row r="10" spans="1:8" x14ac:dyDescent="0.25">
      <c r="A10" s="119" t="s">
        <v>9</v>
      </c>
      <c r="B10" s="132">
        <v>0</v>
      </c>
      <c r="C10" s="132">
        <v>0</v>
      </c>
      <c r="D10" s="132">
        <v>0</v>
      </c>
      <c r="E10" s="132">
        <v>0</v>
      </c>
      <c r="F10" s="127">
        <f t="shared" si="0"/>
        <v>0</v>
      </c>
      <c r="G10" s="127">
        <f t="shared" si="1"/>
        <v>0</v>
      </c>
      <c r="H10" s="127">
        <f t="shared" si="2"/>
        <v>0</v>
      </c>
    </row>
    <row r="11" spans="1:8" x14ac:dyDescent="0.25">
      <c r="A11" s="119" t="s">
        <v>10</v>
      </c>
      <c r="B11" s="132">
        <v>0</v>
      </c>
      <c r="C11" s="132">
        <v>0</v>
      </c>
      <c r="D11" s="132">
        <v>0</v>
      </c>
      <c r="E11" s="132">
        <v>0</v>
      </c>
      <c r="F11" s="127">
        <f t="shared" si="0"/>
        <v>0</v>
      </c>
      <c r="G11" s="127">
        <f t="shared" si="1"/>
        <v>0</v>
      </c>
      <c r="H11" s="127">
        <f t="shared" si="2"/>
        <v>0</v>
      </c>
    </row>
    <row r="12" spans="1:8" x14ac:dyDescent="0.25">
      <c r="A12" s="119" t="s">
        <v>11</v>
      </c>
      <c r="B12" s="132">
        <v>0</v>
      </c>
      <c r="C12" s="132">
        <v>0</v>
      </c>
      <c r="D12" s="132">
        <v>0</v>
      </c>
      <c r="E12" s="132">
        <v>0</v>
      </c>
      <c r="F12" s="127">
        <f t="shared" si="0"/>
        <v>0</v>
      </c>
      <c r="G12" s="127">
        <f t="shared" si="1"/>
        <v>0</v>
      </c>
      <c r="H12" s="127">
        <f t="shared" si="2"/>
        <v>0</v>
      </c>
    </row>
    <row r="13" spans="1:8" x14ac:dyDescent="0.25">
      <c r="A13" s="119" t="s">
        <v>12</v>
      </c>
      <c r="B13" s="132">
        <v>0</v>
      </c>
      <c r="C13" s="132">
        <v>0</v>
      </c>
      <c r="D13" s="132">
        <v>0</v>
      </c>
      <c r="E13" s="132"/>
      <c r="F13" s="127">
        <f t="shared" si="0"/>
        <v>0</v>
      </c>
      <c r="G13" s="127">
        <f t="shared" si="1"/>
        <v>0</v>
      </c>
      <c r="H13" s="127">
        <f t="shared" si="2"/>
        <v>0</v>
      </c>
    </row>
    <row r="14" spans="1:8" ht="15.75" thickBot="1" x14ac:dyDescent="0.3">
      <c r="A14" s="119" t="s">
        <v>13</v>
      </c>
      <c r="B14" s="132">
        <v>0</v>
      </c>
      <c r="C14" s="132">
        <v>0</v>
      </c>
      <c r="D14" s="60">
        <v>0</v>
      </c>
      <c r="E14" s="132"/>
      <c r="F14" s="127">
        <f t="shared" si="0"/>
        <v>0</v>
      </c>
      <c r="G14" s="127">
        <f t="shared" si="1"/>
        <v>0</v>
      </c>
      <c r="H14" s="127">
        <f t="shared" si="2"/>
        <v>0</v>
      </c>
    </row>
    <row r="15" spans="1:8" ht="16.5" thickTop="1" thickBot="1" x14ac:dyDescent="0.3">
      <c r="A15" s="128" t="s">
        <v>0</v>
      </c>
      <c r="B15" s="129">
        <f t="shared" ref="B15:E15" si="3">SUM(B3:B14)</f>
        <v>0</v>
      </c>
      <c r="C15" s="129">
        <f t="shared" si="3"/>
        <v>0</v>
      </c>
      <c r="D15" s="129">
        <f t="shared" si="3"/>
        <v>0</v>
      </c>
      <c r="E15" s="129">
        <f t="shared" si="3"/>
        <v>0</v>
      </c>
    </row>
    <row r="16" spans="1:8" ht="15.75" thickTop="1" x14ac:dyDescent="0.25">
      <c r="A16" s="1" t="s">
        <v>102</v>
      </c>
      <c r="B16" s="1"/>
      <c r="F16" s="127"/>
    </row>
    <row r="17" spans="1:33" x14ac:dyDescent="0.25">
      <c r="A17" s="130" t="s">
        <v>15</v>
      </c>
      <c r="B17" s="127">
        <f t="shared" ref="B17:E17" si="4">AVERAGE(B3:B5,B12:B14)</f>
        <v>0</v>
      </c>
      <c r="C17" s="127">
        <f t="shared" si="4"/>
        <v>0</v>
      </c>
      <c r="D17" s="127">
        <f t="shared" si="4"/>
        <v>0</v>
      </c>
      <c r="E17" s="127">
        <f t="shared" si="4"/>
        <v>0</v>
      </c>
      <c r="F17" s="127">
        <f>AVERAGE(B17:D17)</f>
        <v>0</v>
      </c>
      <c r="G17" s="122"/>
      <c r="H17" s="131"/>
    </row>
    <row r="18" spans="1:33" x14ac:dyDescent="0.25">
      <c r="A18" s="130" t="s">
        <v>16</v>
      </c>
      <c r="B18" s="127">
        <f t="shared" ref="B18:E18" si="5">AVERAGE(B6:B11)</f>
        <v>0</v>
      </c>
      <c r="C18" s="127">
        <f t="shared" si="5"/>
        <v>0</v>
      </c>
      <c r="D18" s="127">
        <f t="shared" si="5"/>
        <v>0</v>
      </c>
      <c r="E18" s="127">
        <f t="shared" si="5"/>
        <v>0</v>
      </c>
      <c r="F18" s="127">
        <f>AVERAGE(B18:D18)</f>
        <v>0</v>
      </c>
      <c r="G18" s="122"/>
    </row>
    <row r="19" spans="1:33" ht="15.75" thickBot="1" x14ac:dyDescent="0.3"/>
    <row r="20" spans="1:33" ht="17.25" thickTop="1" thickBot="1" x14ac:dyDescent="0.3">
      <c r="A20" s="140" t="s">
        <v>107</v>
      </c>
      <c r="B20" s="141"/>
      <c r="C20" s="141"/>
      <c r="D20" s="141"/>
      <c r="E20" s="141"/>
      <c r="F20" s="142"/>
      <c r="J20" s="140" t="s">
        <v>153</v>
      </c>
      <c r="K20" s="141"/>
      <c r="L20" s="141"/>
      <c r="M20" s="141"/>
      <c r="N20" s="141"/>
      <c r="O20" s="142"/>
      <c r="S20" s="140" t="s">
        <v>117</v>
      </c>
      <c r="T20" s="141"/>
      <c r="U20" s="141"/>
      <c r="V20" s="141"/>
      <c r="W20" s="141"/>
      <c r="X20" s="142"/>
      <c r="AB20" s="140" t="s">
        <v>126</v>
      </c>
      <c r="AC20" s="141"/>
      <c r="AD20" s="141"/>
      <c r="AE20" s="141"/>
      <c r="AF20" s="141"/>
      <c r="AG20" s="142"/>
    </row>
    <row r="21" spans="1:33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/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117" t="s">
        <v>18</v>
      </c>
      <c r="Q21" s="117" t="s">
        <v>17</v>
      </c>
      <c r="S21" s="124"/>
      <c r="T21" s="125">
        <v>2014</v>
      </c>
      <c r="U21" s="125">
        <v>2015</v>
      </c>
      <c r="V21" s="125">
        <v>2016</v>
      </c>
      <c r="W21" s="125">
        <v>2017</v>
      </c>
      <c r="X21" s="126" t="s">
        <v>1</v>
      </c>
      <c r="Y21" s="117" t="s">
        <v>18</v>
      </c>
      <c r="Z21" s="117" t="s">
        <v>17</v>
      </c>
      <c r="AB21" s="124"/>
      <c r="AC21" s="125">
        <v>2014</v>
      </c>
      <c r="AD21" s="125">
        <v>2015</v>
      </c>
      <c r="AE21" s="125">
        <v>2016</v>
      </c>
      <c r="AF21" s="125">
        <v>2017</v>
      </c>
      <c r="AG21" s="126" t="s">
        <v>1</v>
      </c>
    </row>
    <row r="22" spans="1:33" x14ac:dyDescent="0.25">
      <c r="A22" s="119" t="s">
        <v>2</v>
      </c>
      <c r="B22" s="132">
        <v>0</v>
      </c>
      <c r="C22" s="132">
        <v>0</v>
      </c>
      <c r="D22" s="132">
        <v>0</v>
      </c>
      <c r="E22" s="132">
        <v>0</v>
      </c>
      <c r="F22" s="127"/>
      <c r="J22" s="119" t="s">
        <v>2</v>
      </c>
      <c r="K22" s="84">
        <f>B22+B74</f>
        <v>0</v>
      </c>
      <c r="L22" s="84">
        <f t="shared" ref="L22:N33" si="6">C22+C74</f>
        <v>0</v>
      </c>
      <c r="M22" s="84">
        <f t="shared" si="6"/>
        <v>0</v>
      </c>
      <c r="N22" s="84">
        <f t="shared" si="6"/>
        <v>0</v>
      </c>
      <c r="O22" s="127">
        <f t="shared" ref="O22:O33" si="7">AVERAGE(K22:N22)</f>
        <v>0</v>
      </c>
      <c r="P22" s="127">
        <f t="shared" ref="P22:P33" si="8">STDEVA(K22:N22)</f>
        <v>0</v>
      </c>
      <c r="Q22" s="127">
        <f t="shared" ref="Q22:Q33" si="9">STDEVA(K22:N22)</f>
        <v>0</v>
      </c>
      <c r="S22" s="119" t="s">
        <v>2</v>
      </c>
      <c r="T22" s="84">
        <f>K22+B91+B41</f>
        <v>5573</v>
      </c>
      <c r="U22" s="84">
        <f t="shared" ref="U22:W33" si="10">L22+C91+C41</f>
        <v>5632</v>
      </c>
      <c r="V22" s="84">
        <f t="shared" si="10"/>
        <v>4671</v>
      </c>
      <c r="W22" s="84">
        <f t="shared" si="10"/>
        <v>6147</v>
      </c>
      <c r="X22" s="127">
        <f t="shared" ref="X22:X33" si="11">AVERAGE(T22:W22)</f>
        <v>5505.75</v>
      </c>
      <c r="Y22" s="127">
        <f t="shared" ref="Y22:Y33" si="12">STDEVA(T22:W22)</f>
        <v>613.31632675697347</v>
      </c>
      <c r="Z22" s="127">
        <f t="shared" ref="Z22:Z33" si="13">STDEVA(T22:W22)</f>
        <v>613.31632675697347</v>
      </c>
      <c r="AB22" s="119" t="s">
        <v>2</v>
      </c>
      <c r="AC22" s="77">
        <f>(B3+B125)-(B108+T22)</f>
        <v>-5573</v>
      </c>
      <c r="AD22" s="77">
        <f>(C3+C125)-(C108+U22)</f>
        <v>-5632</v>
      </c>
      <c r="AE22" s="77">
        <f>(D3+D125)-(D108+V22)</f>
        <v>-4671</v>
      </c>
      <c r="AF22" s="77">
        <f>(E3+E125)-(E108+W22)</f>
        <v>-6147</v>
      </c>
      <c r="AG22" s="92">
        <f>AVERAGE(AC22:AF22)</f>
        <v>-5505.75</v>
      </c>
    </row>
    <row r="23" spans="1:33" x14ac:dyDescent="0.25">
      <c r="A23" s="119" t="s">
        <v>3</v>
      </c>
      <c r="B23" s="132">
        <v>0</v>
      </c>
      <c r="C23" s="132">
        <v>0</v>
      </c>
      <c r="D23" s="59">
        <v>0</v>
      </c>
      <c r="E23" s="132">
        <v>0</v>
      </c>
      <c r="F23" s="127"/>
      <c r="J23" s="119" t="s">
        <v>3</v>
      </c>
      <c r="K23" s="84">
        <f t="shared" ref="K23:K33" si="14">B23+B75</f>
        <v>0</v>
      </c>
      <c r="L23" s="84">
        <f t="shared" si="6"/>
        <v>0</v>
      </c>
      <c r="M23" s="84">
        <f t="shared" si="6"/>
        <v>0</v>
      </c>
      <c r="N23" s="84">
        <f t="shared" si="6"/>
        <v>0</v>
      </c>
      <c r="O23" s="127">
        <f t="shared" si="7"/>
        <v>0</v>
      </c>
      <c r="P23" s="127">
        <f t="shared" si="8"/>
        <v>0</v>
      </c>
      <c r="Q23" s="127">
        <f t="shared" si="9"/>
        <v>0</v>
      </c>
      <c r="S23" s="119" t="s">
        <v>3</v>
      </c>
      <c r="T23" s="84">
        <f t="shared" ref="T23:T33" si="15">K23+B92+B42</f>
        <v>6969</v>
      </c>
      <c r="U23" s="84">
        <f t="shared" si="10"/>
        <v>5919</v>
      </c>
      <c r="V23" s="84">
        <f t="shared" si="10"/>
        <v>5099</v>
      </c>
      <c r="W23" s="84">
        <f t="shared" si="10"/>
        <v>6072</v>
      </c>
      <c r="X23" s="127">
        <f t="shared" si="11"/>
        <v>6014.75</v>
      </c>
      <c r="Y23" s="127">
        <f t="shared" si="12"/>
        <v>766.29775544497068</v>
      </c>
      <c r="Z23" s="127">
        <f t="shared" si="13"/>
        <v>766.29775544497068</v>
      </c>
      <c r="AB23" s="119" t="s">
        <v>3</v>
      </c>
      <c r="AC23" s="77">
        <f t="shared" ref="AC23:AF33" si="16">(B4+B126)-(B109+T23)</f>
        <v>-6969</v>
      </c>
      <c r="AD23" s="77">
        <f t="shared" si="16"/>
        <v>-5919</v>
      </c>
      <c r="AE23" s="77">
        <f t="shared" si="16"/>
        <v>-5099</v>
      </c>
      <c r="AF23" s="77">
        <f t="shared" si="16"/>
        <v>-6072</v>
      </c>
      <c r="AG23" s="92">
        <f t="shared" ref="AG23:AG33" si="17">AVERAGE(AC23:AF23)</f>
        <v>-6014.75</v>
      </c>
    </row>
    <row r="24" spans="1:33" x14ac:dyDescent="0.25">
      <c r="A24" s="119" t="s">
        <v>4</v>
      </c>
      <c r="B24" s="132">
        <v>0</v>
      </c>
      <c r="C24" s="132">
        <v>0</v>
      </c>
      <c r="D24" s="59">
        <v>0</v>
      </c>
      <c r="E24" s="132">
        <v>0</v>
      </c>
      <c r="F24" s="127"/>
      <c r="J24" s="119" t="s">
        <v>4</v>
      </c>
      <c r="K24" s="84">
        <f t="shared" si="14"/>
        <v>0</v>
      </c>
      <c r="L24" s="84">
        <f t="shared" si="6"/>
        <v>0</v>
      </c>
      <c r="M24" s="84">
        <f t="shared" si="6"/>
        <v>0</v>
      </c>
      <c r="N24" s="84">
        <f t="shared" si="6"/>
        <v>0</v>
      </c>
      <c r="O24" s="127">
        <f t="shared" si="7"/>
        <v>0</v>
      </c>
      <c r="P24" s="127">
        <f t="shared" si="8"/>
        <v>0</v>
      </c>
      <c r="Q24" s="127">
        <f t="shared" si="9"/>
        <v>0</v>
      </c>
      <c r="S24" s="119" t="s">
        <v>4</v>
      </c>
      <c r="T24" s="84">
        <f t="shared" si="15"/>
        <v>8657</v>
      </c>
      <c r="U24" s="84">
        <f t="shared" si="10"/>
        <v>8287</v>
      </c>
      <c r="V24" s="84">
        <f t="shared" si="10"/>
        <v>6890</v>
      </c>
      <c r="W24" s="84">
        <f t="shared" si="10"/>
        <v>4835</v>
      </c>
      <c r="X24" s="127">
        <f t="shared" si="11"/>
        <v>7167.25</v>
      </c>
      <c r="Y24" s="127">
        <f t="shared" si="12"/>
        <v>1731.0356004426944</v>
      </c>
      <c r="Z24" s="127">
        <f t="shared" si="13"/>
        <v>1731.0356004426944</v>
      </c>
      <c r="AB24" s="119" t="s">
        <v>4</v>
      </c>
      <c r="AC24" s="77">
        <f t="shared" si="16"/>
        <v>-8657</v>
      </c>
      <c r="AD24" s="77">
        <f t="shared" si="16"/>
        <v>-8287</v>
      </c>
      <c r="AE24" s="77">
        <f t="shared" si="16"/>
        <v>-6890</v>
      </c>
      <c r="AF24" s="77">
        <f t="shared" si="16"/>
        <v>-4835</v>
      </c>
      <c r="AG24" s="92">
        <f t="shared" si="17"/>
        <v>-7167.25</v>
      </c>
    </row>
    <row r="25" spans="1:33" x14ac:dyDescent="0.25">
      <c r="A25" s="119" t="s">
        <v>5</v>
      </c>
      <c r="B25" s="132">
        <v>0</v>
      </c>
      <c r="C25" s="132">
        <v>0</v>
      </c>
      <c r="D25" s="132">
        <v>0</v>
      </c>
      <c r="E25" s="132">
        <v>0</v>
      </c>
      <c r="F25" s="127"/>
      <c r="G25" s="127"/>
      <c r="H25" s="127"/>
      <c r="J25" s="119" t="s">
        <v>5</v>
      </c>
      <c r="K25" s="84">
        <f t="shared" si="14"/>
        <v>314</v>
      </c>
      <c r="L25" s="84">
        <f t="shared" si="6"/>
        <v>0</v>
      </c>
      <c r="M25" s="84">
        <f t="shared" si="6"/>
        <v>0</v>
      </c>
      <c r="N25" s="84">
        <f t="shared" si="6"/>
        <v>0</v>
      </c>
      <c r="O25" s="127">
        <f t="shared" si="7"/>
        <v>78.5</v>
      </c>
      <c r="P25" s="127">
        <f t="shared" si="8"/>
        <v>157</v>
      </c>
      <c r="Q25" s="127">
        <f t="shared" si="9"/>
        <v>157</v>
      </c>
      <c r="S25" s="119" t="s">
        <v>5</v>
      </c>
      <c r="T25" s="84">
        <f t="shared" si="15"/>
        <v>9003</v>
      </c>
      <c r="U25" s="84">
        <f t="shared" si="10"/>
        <v>8394</v>
      </c>
      <c r="V25" s="84">
        <f t="shared" si="10"/>
        <v>8376</v>
      </c>
      <c r="W25" s="84">
        <f t="shared" si="10"/>
        <v>7425</v>
      </c>
      <c r="X25" s="127">
        <f t="shared" si="11"/>
        <v>8299.5</v>
      </c>
      <c r="Y25" s="127">
        <f t="shared" si="12"/>
        <v>651.77833655315669</v>
      </c>
      <c r="Z25" s="127">
        <f t="shared" si="13"/>
        <v>651.77833655315669</v>
      </c>
      <c r="AB25" s="119" t="s">
        <v>5</v>
      </c>
      <c r="AC25" s="77">
        <f t="shared" si="16"/>
        <v>-9003</v>
      </c>
      <c r="AD25" s="77">
        <f t="shared" si="16"/>
        <v>-8394</v>
      </c>
      <c r="AE25" s="77">
        <f t="shared" si="16"/>
        <v>-8376</v>
      </c>
      <c r="AF25" s="77">
        <f t="shared" si="16"/>
        <v>-7425</v>
      </c>
      <c r="AG25" s="92">
        <f t="shared" si="17"/>
        <v>-8299.5</v>
      </c>
    </row>
    <row r="26" spans="1:33" x14ac:dyDescent="0.25">
      <c r="A26" s="119" t="s">
        <v>6</v>
      </c>
      <c r="B26" s="132">
        <v>0</v>
      </c>
      <c r="C26" s="132">
        <v>0</v>
      </c>
      <c r="D26" s="132">
        <v>0</v>
      </c>
      <c r="E26" s="132">
        <v>0</v>
      </c>
      <c r="F26" s="127"/>
      <c r="G26" s="127"/>
      <c r="H26" s="127"/>
      <c r="J26" s="119" t="s">
        <v>6</v>
      </c>
      <c r="K26" s="84">
        <f t="shared" si="14"/>
        <v>0</v>
      </c>
      <c r="L26" s="84">
        <f t="shared" si="6"/>
        <v>0</v>
      </c>
      <c r="M26" s="84">
        <f t="shared" si="6"/>
        <v>0</v>
      </c>
      <c r="N26" s="84">
        <f t="shared" si="6"/>
        <v>0</v>
      </c>
      <c r="O26" s="127">
        <f t="shared" si="7"/>
        <v>0</v>
      </c>
      <c r="P26" s="127">
        <f t="shared" si="8"/>
        <v>0</v>
      </c>
      <c r="Q26" s="127">
        <f t="shared" si="9"/>
        <v>0</v>
      </c>
      <c r="S26" s="119" t="s">
        <v>6</v>
      </c>
      <c r="T26" s="84">
        <f t="shared" si="15"/>
        <v>10057</v>
      </c>
      <c r="U26" s="84">
        <f t="shared" si="10"/>
        <v>9106</v>
      </c>
      <c r="V26" s="84">
        <f t="shared" si="10"/>
        <v>8752</v>
      </c>
      <c r="W26" s="84">
        <f t="shared" si="10"/>
        <v>8494</v>
      </c>
      <c r="X26" s="127">
        <f t="shared" si="11"/>
        <v>9102.25</v>
      </c>
      <c r="Y26" s="127">
        <f t="shared" si="12"/>
        <v>684.1551359158243</v>
      </c>
      <c r="Z26" s="127">
        <f t="shared" si="13"/>
        <v>684.1551359158243</v>
      </c>
      <c r="AB26" s="119" t="s">
        <v>6</v>
      </c>
      <c r="AC26" s="77">
        <f t="shared" si="16"/>
        <v>-10057</v>
      </c>
      <c r="AD26" s="77">
        <f t="shared" si="16"/>
        <v>-9106</v>
      </c>
      <c r="AE26" s="77">
        <f t="shared" si="16"/>
        <v>-8752</v>
      </c>
      <c r="AF26" s="77">
        <f t="shared" si="16"/>
        <v>-8494</v>
      </c>
      <c r="AG26" s="92">
        <f t="shared" si="17"/>
        <v>-9102.25</v>
      </c>
    </row>
    <row r="27" spans="1:33" x14ac:dyDescent="0.25">
      <c r="A27" s="119" t="s">
        <v>7</v>
      </c>
      <c r="B27" s="132">
        <v>0</v>
      </c>
      <c r="C27" s="132">
        <v>0</v>
      </c>
      <c r="D27" s="132">
        <v>0</v>
      </c>
      <c r="E27" s="132">
        <v>0</v>
      </c>
      <c r="F27" s="127"/>
      <c r="G27" s="127"/>
      <c r="H27" s="127"/>
      <c r="J27" s="119" t="s">
        <v>7</v>
      </c>
      <c r="K27" s="84">
        <f t="shared" si="14"/>
        <v>0</v>
      </c>
      <c r="L27" s="84">
        <f t="shared" si="6"/>
        <v>0</v>
      </c>
      <c r="M27" s="84">
        <f t="shared" si="6"/>
        <v>0</v>
      </c>
      <c r="N27" s="84">
        <f t="shared" si="6"/>
        <v>0</v>
      </c>
      <c r="O27" s="127">
        <f t="shared" si="7"/>
        <v>0</v>
      </c>
      <c r="P27" s="127">
        <f t="shared" si="8"/>
        <v>0</v>
      </c>
      <c r="Q27" s="127">
        <f t="shared" si="9"/>
        <v>0</v>
      </c>
      <c r="S27" s="119" t="s">
        <v>7</v>
      </c>
      <c r="T27" s="84">
        <f t="shared" si="15"/>
        <v>12429</v>
      </c>
      <c r="U27" s="84">
        <f t="shared" si="10"/>
        <v>10027</v>
      </c>
      <c r="V27" s="84">
        <f t="shared" si="10"/>
        <v>8782</v>
      </c>
      <c r="W27" s="84">
        <f t="shared" si="10"/>
        <v>10245</v>
      </c>
      <c r="X27" s="127">
        <f t="shared" si="11"/>
        <v>10370.75</v>
      </c>
      <c r="Y27" s="127">
        <f t="shared" si="12"/>
        <v>1515.9701789063442</v>
      </c>
      <c r="Z27" s="127">
        <f t="shared" si="13"/>
        <v>1515.9701789063442</v>
      </c>
      <c r="AB27" s="119" t="s">
        <v>7</v>
      </c>
      <c r="AC27" s="77">
        <f t="shared" si="16"/>
        <v>-12429</v>
      </c>
      <c r="AD27" s="77">
        <f t="shared" si="16"/>
        <v>-10027</v>
      </c>
      <c r="AE27" s="77">
        <f>(D8+D130)-('PAX PVE TL+NI'!D111+V27)</f>
        <v>-23412</v>
      </c>
      <c r="AF27" s="77">
        <f>(E8+E130)-(E113+W27)</f>
        <v>-10245</v>
      </c>
      <c r="AG27" s="92">
        <f t="shared" si="17"/>
        <v>-14028.25</v>
      </c>
    </row>
    <row r="28" spans="1:33" x14ac:dyDescent="0.25">
      <c r="A28" s="119" t="s">
        <v>8</v>
      </c>
      <c r="B28" s="132">
        <v>0</v>
      </c>
      <c r="C28" s="132">
        <v>0</v>
      </c>
      <c r="D28" s="132">
        <v>0</v>
      </c>
      <c r="E28" s="132">
        <v>0</v>
      </c>
      <c r="F28" s="127"/>
      <c r="G28" s="127"/>
      <c r="H28" s="127"/>
      <c r="J28" s="119" t="s">
        <v>8</v>
      </c>
      <c r="K28" s="84">
        <f t="shared" si="14"/>
        <v>2</v>
      </c>
      <c r="L28" s="84">
        <f t="shared" si="6"/>
        <v>0</v>
      </c>
      <c r="M28" s="84">
        <f t="shared" si="6"/>
        <v>0</v>
      </c>
      <c r="N28" s="84">
        <f t="shared" si="6"/>
        <v>0</v>
      </c>
      <c r="O28" s="127">
        <f t="shared" si="7"/>
        <v>0.5</v>
      </c>
      <c r="P28" s="127">
        <f t="shared" si="8"/>
        <v>1</v>
      </c>
      <c r="Q28" s="127">
        <f t="shared" si="9"/>
        <v>1</v>
      </c>
      <c r="S28" s="119" t="s">
        <v>8</v>
      </c>
      <c r="T28" s="84">
        <f t="shared" si="15"/>
        <v>10650</v>
      </c>
      <c r="U28" s="84">
        <f t="shared" si="10"/>
        <v>13055</v>
      </c>
      <c r="V28" s="84">
        <f t="shared" si="10"/>
        <v>12635</v>
      </c>
      <c r="W28" s="84">
        <f t="shared" si="10"/>
        <v>13228</v>
      </c>
      <c r="X28" s="127">
        <f t="shared" si="11"/>
        <v>12392</v>
      </c>
      <c r="Y28" s="127">
        <f t="shared" si="12"/>
        <v>1187.7258381742256</v>
      </c>
      <c r="Z28" s="127">
        <f t="shared" si="13"/>
        <v>1187.7258381742256</v>
      </c>
      <c r="AB28" s="119" t="s">
        <v>8</v>
      </c>
      <c r="AC28" s="77">
        <f t="shared" si="16"/>
        <v>-10650</v>
      </c>
      <c r="AD28" s="77">
        <f t="shared" si="16"/>
        <v>-13055</v>
      </c>
      <c r="AE28" s="77">
        <f>(D9+D131)-('PAX PVE TL+NI'!D112+V28)</f>
        <v>-28843</v>
      </c>
      <c r="AF28" s="77">
        <f>(E9+E131)-(E114+W28)</f>
        <v>-13228</v>
      </c>
      <c r="AG28" s="92">
        <f t="shared" si="17"/>
        <v>-16444</v>
      </c>
    </row>
    <row r="29" spans="1:33" x14ac:dyDescent="0.25">
      <c r="A29" s="119" t="s">
        <v>9</v>
      </c>
      <c r="B29" s="132">
        <v>0</v>
      </c>
      <c r="C29" s="132">
        <v>0</v>
      </c>
      <c r="D29" s="132">
        <v>0</v>
      </c>
      <c r="E29" s="132">
        <v>0</v>
      </c>
      <c r="F29" s="127"/>
      <c r="G29" s="127"/>
      <c r="H29" s="127"/>
      <c r="J29" s="119" t="s">
        <v>9</v>
      </c>
      <c r="K29" s="84">
        <f t="shared" si="14"/>
        <v>0</v>
      </c>
      <c r="L29" s="84">
        <f t="shared" si="6"/>
        <v>0</v>
      </c>
      <c r="M29" s="84">
        <f t="shared" si="6"/>
        <v>0</v>
      </c>
      <c r="N29" s="84">
        <f t="shared" si="6"/>
        <v>0</v>
      </c>
      <c r="O29" s="127">
        <f t="shared" si="7"/>
        <v>0</v>
      </c>
      <c r="P29" s="127">
        <f t="shared" si="8"/>
        <v>0</v>
      </c>
      <c r="Q29" s="127">
        <f t="shared" si="9"/>
        <v>0</v>
      </c>
      <c r="S29" s="119" t="s">
        <v>9</v>
      </c>
      <c r="T29" s="84">
        <f t="shared" si="15"/>
        <v>13211</v>
      </c>
      <c r="U29" s="84">
        <f t="shared" si="10"/>
        <v>13530</v>
      </c>
      <c r="V29" s="84">
        <f t="shared" si="10"/>
        <v>10590</v>
      </c>
      <c r="W29" s="84">
        <f t="shared" si="10"/>
        <v>11699</v>
      </c>
      <c r="X29" s="127">
        <f t="shared" si="11"/>
        <v>12257.5</v>
      </c>
      <c r="Y29" s="127">
        <f t="shared" si="12"/>
        <v>1368.8069014047719</v>
      </c>
      <c r="Z29" s="127">
        <f t="shared" si="13"/>
        <v>1368.8069014047719</v>
      </c>
      <c r="AB29" s="119" t="s">
        <v>9</v>
      </c>
      <c r="AC29" s="77">
        <f t="shared" si="16"/>
        <v>-13211</v>
      </c>
      <c r="AD29" s="77">
        <f t="shared" si="16"/>
        <v>-13530</v>
      </c>
      <c r="AE29" s="77">
        <f>(D10+D132)-('PAX PVE TL+NI'!D113+V29)</f>
        <v>-28587</v>
      </c>
      <c r="AF29" s="77">
        <f>(E10+E132)-(E115+W29)</f>
        <v>-11699</v>
      </c>
      <c r="AG29" s="92">
        <f t="shared" si="17"/>
        <v>-16756.75</v>
      </c>
    </row>
    <row r="30" spans="1:33" x14ac:dyDescent="0.25">
      <c r="A30" s="119" t="s">
        <v>10</v>
      </c>
      <c r="B30" s="132">
        <v>0</v>
      </c>
      <c r="C30" s="132">
        <v>0</v>
      </c>
      <c r="D30" s="132">
        <v>0</v>
      </c>
      <c r="E30" s="132">
        <v>0</v>
      </c>
      <c r="F30" s="127"/>
      <c r="G30" s="127"/>
      <c r="H30" s="127"/>
      <c r="J30" s="119" t="s">
        <v>10</v>
      </c>
      <c r="K30" s="84">
        <f t="shared" si="14"/>
        <v>0</v>
      </c>
      <c r="L30" s="84">
        <f t="shared" si="6"/>
        <v>0</v>
      </c>
      <c r="M30" s="84">
        <f t="shared" si="6"/>
        <v>0</v>
      </c>
      <c r="N30" s="84">
        <f t="shared" si="6"/>
        <v>0</v>
      </c>
      <c r="O30" s="127">
        <f t="shared" si="7"/>
        <v>0</v>
      </c>
      <c r="P30" s="127">
        <f t="shared" si="8"/>
        <v>0</v>
      </c>
      <c r="Q30" s="127">
        <f t="shared" si="9"/>
        <v>0</v>
      </c>
      <c r="S30" s="119" t="s">
        <v>10</v>
      </c>
      <c r="T30" s="84">
        <f t="shared" si="15"/>
        <v>9450</v>
      </c>
      <c r="U30" s="84">
        <f t="shared" si="10"/>
        <v>9428</v>
      </c>
      <c r="V30" s="84">
        <f t="shared" si="10"/>
        <v>8423</v>
      </c>
      <c r="W30" s="84">
        <f t="shared" si="10"/>
        <v>9035</v>
      </c>
      <c r="X30" s="127">
        <f t="shared" si="11"/>
        <v>9084</v>
      </c>
      <c r="Y30" s="127">
        <f t="shared" si="12"/>
        <v>480.14372848137879</v>
      </c>
      <c r="Z30" s="127">
        <f t="shared" si="13"/>
        <v>480.14372848137879</v>
      </c>
      <c r="AB30" s="119" t="s">
        <v>10</v>
      </c>
      <c r="AC30" s="77">
        <f t="shared" si="16"/>
        <v>-9450</v>
      </c>
      <c r="AD30" s="77">
        <f t="shared" si="16"/>
        <v>-9428</v>
      </c>
      <c r="AE30" s="77">
        <f>(D11+D133)-('PAX PVE TL+NI'!D114+V30)</f>
        <v>-22946</v>
      </c>
      <c r="AF30" s="77">
        <f>(E11+E133)-(E116+W30)</f>
        <v>-9035</v>
      </c>
      <c r="AG30" s="92">
        <f t="shared" si="17"/>
        <v>-12714.75</v>
      </c>
    </row>
    <row r="31" spans="1:33" x14ac:dyDescent="0.25">
      <c r="A31" s="119" t="s">
        <v>11</v>
      </c>
      <c r="B31" s="132">
        <v>0</v>
      </c>
      <c r="C31" s="132">
        <v>0</v>
      </c>
      <c r="D31" s="132">
        <v>0</v>
      </c>
      <c r="E31" s="132">
        <v>0</v>
      </c>
      <c r="F31" s="127"/>
      <c r="G31" s="127"/>
      <c r="H31" s="127"/>
      <c r="J31" s="119" t="s">
        <v>11</v>
      </c>
      <c r="K31" s="84">
        <f t="shared" si="14"/>
        <v>0</v>
      </c>
      <c r="L31" s="84">
        <f t="shared" si="6"/>
        <v>0</v>
      </c>
      <c r="M31" s="84">
        <f t="shared" si="6"/>
        <v>0</v>
      </c>
      <c r="N31" s="84">
        <f t="shared" si="6"/>
        <v>0</v>
      </c>
      <c r="O31" s="127">
        <f t="shared" si="7"/>
        <v>0</v>
      </c>
      <c r="P31" s="127">
        <f t="shared" si="8"/>
        <v>0</v>
      </c>
      <c r="Q31" s="127">
        <f t="shared" si="9"/>
        <v>0</v>
      </c>
      <c r="S31" s="119" t="s">
        <v>11</v>
      </c>
      <c r="T31" s="84">
        <f t="shared" si="15"/>
        <v>9177</v>
      </c>
      <c r="U31" s="84">
        <f t="shared" si="10"/>
        <v>8422</v>
      </c>
      <c r="V31" s="84">
        <f t="shared" si="10"/>
        <v>7383</v>
      </c>
      <c r="W31" s="84">
        <f t="shared" si="10"/>
        <v>7641</v>
      </c>
      <c r="X31" s="127">
        <f t="shared" si="11"/>
        <v>8155.75</v>
      </c>
      <c r="Y31" s="127">
        <f t="shared" si="12"/>
        <v>811.57270161089082</v>
      </c>
      <c r="Z31" s="127">
        <f t="shared" si="13"/>
        <v>811.57270161089082</v>
      </c>
      <c r="AB31" s="119" t="s">
        <v>11</v>
      </c>
      <c r="AC31" s="77">
        <f t="shared" si="16"/>
        <v>-9177</v>
      </c>
      <c r="AD31" s="77">
        <f t="shared" si="16"/>
        <v>-8422</v>
      </c>
      <c r="AE31" s="77">
        <f>(D12+D134)-('PAX PVE TL+NI'!D115+V31)</f>
        <v>-9279</v>
      </c>
      <c r="AF31" s="77">
        <f>(E12+E134)-(E117+W31)</f>
        <v>-7641</v>
      </c>
      <c r="AG31" s="92">
        <f t="shared" si="17"/>
        <v>-8629.75</v>
      </c>
    </row>
    <row r="32" spans="1:33" x14ac:dyDescent="0.25">
      <c r="A32" s="119" t="s">
        <v>12</v>
      </c>
      <c r="B32" s="132">
        <v>0</v>
      </c>
      <c r="C32" s="132">
        <v>0</v>
      </c>
      <c r="D32" s="132">
        <v>0</v>
      </c>
      <c r="E32" s="132"/>
      <c r="F32" s="127"/>
      <c r="G32" s="127"/>
      <c r="H32" s="127"/>
      <c r="J32" s="119" t="s">
        <v>12</v>
      </c>
      <c r="K32" s="84">
        <f t="shared" si="14"/>
        <v>0</v>
      </c>
      <c r="L32" s="84">
        <f t="shared" si="6"/>
        <v>0</v>
      </c>
      <c r="M32" s="84">
        <f t="shared" si="6"/>
        <v>0</v>
      </c>
      <c r="N32" s="84">
        <f t="shared" si="6"/>
        <v>0</v>
      </c>
      <c r="O32" s="127">
        <f t="shared" si="7"/>
        <v>0</v>
      </c>
      <c r="P32" s="127">
        <f t="shared" si="8"/>
        <v>0</v>
      </c>
      <c r="Q32" s="127">
        <f t="shared" si="9"/>
        <v>0</v>
      </c>
      <c r="S32" s="119" t="s">
        <v>12</v>
      </c>
      <c r="T32" s="84">
        <f t="shared" si="15"/>
        <v>6302</v>
      </c>
      <c r="U32" s="84">
        <f t="shared" si="10"/>
        <v>7541</v>
      </c>
      <c r="V32" s="84">
        <f t="shared" si="10"/>
        <v>5781</v>
      </c>
      <c r="W32" s="84">
        <f t="shared" si="10"/>
        <v>0</v>
      </c>
      <c r="X32" s="127">
        <f t="shared" si="11"/>
        <v>4906</v>
      </c>
      <c r="Y32" s="127">
        <f t="shared" si="12"/>
        <v>3352.9341379355087</v>
      </c>
      <c r="Z32" s="127">
        <f t="shared" si="13"/>
        <v>3352.9341379355087</v>
      </c>
      <c r="AB32" s="119" t="s">
        <v>12</v>
      </c>
      <c r="AC32" s="77">
        <f t="shared" si="16"/>
        <v>-6302</v>
      </c>
      <c r="AD32" s="77">
        <f t="shared" si="16"/>
        <v>-7541</v>
      </c>
      <c r="AE32" s="77">
        <f>(D13+D135)-('PAX PVE TL+NI'!D116+V32)</f>
        <v>-17157</v>
      </c>
      <c r="AF32" s="77"/>
      <c r="AG32" s="92">
        <f t="shared" si="17"/>
        <v>-10333.333333333334</v>
      </c>
    </row>
    <row r="33" spans="1:33" ht="15.75" thickBot="1" x14ac:dyDescent="0.3">
      <c r="A33" s="119" t="s">
        <v>13</v>
      </c>
      <c r="B33" s="132">
        <v>0</v>
      </c>
      <c r="C33" s="132">
        <v>0</v>
      </c>
      <c r="D33" s="60">
        <v>0</v>
      </c>
      <c r="E33" s="60"/>
      <c r="F33" s="127"/>
      <c r="G33" s="127"/>
      <c r="H33" s="127"/>
      <c r="J33" s="119" t="s">
        <v>13</v>
      </c>
      <c r="K33" s="114">
        <f t="shared" si="14"/>
        <v>0</v>
      </c>
      <c r="L33" s="114">
        <f t="shared" si="6"/>
        <v>0</v>
      </c>
      <c r="M33" s="114">
        <f t="shared" si="6"/>
        <v>0</v>
      </c>
      <c r="N33" s="114">
        <f t="shared" si="6"/>
        <v>0</v>
      </c>
      <c r="O33" s="127">
        <f t="shared" si="7"/>
        <v>0</v>
      </c>
      <c r="P33" s="127">
        <f t="shared" si="8"/>
        <v>0</v>
      </c>
      <c r="Q33" s="127">
        <f t="shared" si="9"/>
        <v>0</v>
      </c>
      <c r="S33" s="119" t="s">
        <v>13</v>
      </c>
      <c r="T33" s="114">
        <f t="shared" si="15"/>
        <v>5379</v>
      </c>
      <c r="U33" s="114">
        <f t="shared" si="10"/>
        <v>5174</v>
      </c>
      <c r="V33" s="114">
        <f t="shared" si="10"/>
        <v>6205</v>
      </c>
      <c r="W33" s="114">
        <f t="shared" si="10"/>
        <v>0</v>
      </c>
      <c r="X33" s="127">
        <f t="shared" si="11"/>
        <v>4189.5</v>
      </c>
      <c r="Y33" s="127">
        <f t="shared" si="12"/>
        <v>2828.3270084392057</v>
      </c>
      <c r="Z33" s="127">
        <f t="shared" si="13"/>
        <v>2828.3270084392057</v>
      </c>
      <c r="AB33" s="139" t="s">
        <v>13</v>
      </c>
      <c r="AC33" s="43">
        <f t="shared" si="16"/>
        <v>-5379</v>
      </c>
      <c r="AD33" s="43">
        <f t="shared" si="16"/>
        <v>-5174</v>
      </c>
      <c r="AE33" s="43">
        <f>(D14+D136)-('PAX PVE TL+NI'!D117+V33)</f>
        <v>-17581</v>
      </c>
      <c r="AF33" s="43"/>
      <c r="AG33" s="92">
        <f t="shared" si="17"/>
        <v>-9378</v>
      </c>
    </row>
    <row r="34" spans="1:33" ht="16.5" thickTop="1" thickBot="1" x14ac:dyDescent="0.3">
      <c r="A34" s="128" t="s">
        <v>0</v>
      </c>
      <c r="B34" s="129">
        <v>1034</v>
      </c>
      <c r="C34" s="129">
        <v>0</v>
      </c>
      <c r="D34" s="129">
        <v>0</v>
      </c>
      <c r="E34" s="129">
        <v>0</v>
      </c>
      <c r="G34" s="127"/>
      <c r="H34" s="127"/>
      <c r="J34" s="128" t="s">
        <v>0</v>
      </c>
      <c r="K34" s="137">
        <f t="shared" ref="K34:M34" si="18">SUM(K22:K33)</f>
        <v>316</v>
      </c>
      <c r="L34" s="137">
        <f t="shared" si="18"/>
        <v>0</v>
      </c>
      <c r="M34" s="137">
        <f t="shared" si="18"/>
        <v>0</v>
      </c>
      <c r="N34" s="137">
        <f>SUM(N22:N33)</f>
        <v>0</v>
      </c>
      <c r="S34" s="128" t="s">
        <v>0</v>
      </c>
      <c r="T34" s="137">
        <f t="shared" ref="T34:V34" si="19">SUM(T22:T33)</f>
        <v>106857</v>
      </c>
      <c r="U34" s="137">
        <f t="shared" si="19"/>
        <v>104515</v>
      </c>
      <c r="V34" s="137">
        <f t="shared" si="19"/>
        <v>93587</v>
      </c>
      <c r="W34" s="137">
        <f>SUM(W22:W33)</f>
        <v>84821</v>
      </c>
      <c r="AB34" s="138" t="s">
        <v>0</v>
      </c>
      <c r="AC34" s="137">
        <f>SUM(AC22:AC33)</f>
        <v>-106857</v>
      </c>
      <c r="AD34" s="137">
        <f>SUM(AD22:AD33)</f>
        <v>-104515</v>
      </c>
      <c r="AE34" s="137">
        <f>SUM(AE22:AE33)</f>
        <v>-181593</v>
      </c>
      <c r="AF34" s="137">
        <f>SUM(AF22:AF33)</f>
        <v>-84821</v>
      </c>
    </row>
    <row r="35" spans="1:33" ht="15.75" thickTop="1" x14ac:dyDescent="0.25">
      <c r="A35" s="1" t="s">
        <v>14</v>
      </c>
      <c r="B35" s="1"/>
      <c r="C35" s="1"/>
      <c r="D35" s="1"/>
      <c r="E35" s="1"/>
      <c r="F35" s="1"/>
      <c r="G35" s="127"/>
      <c r="H35" s="127"/>
      <c r="J35" s="1" t="s">
        <v>14</v>
      </c>
      <c r="K35" s="1"/>
      <c r="L35" s="1"/>
      <c r="M35" s="1"/>
      <c r="N35" s="1"/>
      <c r="O35" s="1"/>
      <c r="S35" s="1" t="s">
        <v>14</v>
      </c>
      <c r="T35" s="1"/>
      <c r="U35" s="1"/>
      <c r="V35" s="1"/>
      <c r="W35" s="1"/>
      <c r="X35" s="1"/>
    </row>
    <row r="36" spans="1:33" x14ac:dyDescent="0.25">
      <c r="G36" s="127"/>
      <c r="H36" s="127"/>
      <c r="J36" s="130" t="s">
        <v>15</v>
      </c>
      <c r="K36" s="127">
        <f t="shared" ref="K36:Q36" si="20">AVERAGE(K22:K24,K31:K33)</f>
        <v>0</v>
      </c>
      <c r="L36" s="127">
        <f t="shared" si="20"/>
        <v>0</v>
      </c>
      <c r="M36" s="127">
        <f t="shared" si="20"/>
        <v>0</v>
      </c>
      <c r="N36" s="127">
        <f t="shared" si="20"/>
        <v>0</v>
      </c>
      <c r="O36" s="127">
        <f t="shared" si="20"/>
        <v>0</v>
      </c>
      <c r="P36" s="127">
        <f t="shared" si="20"/>
        <v>0</v>
      </c>
      <c r="Q36" s="127">
        <f t="shared" si="20"/>
        <v>0</v>
      </c>
      <c r="S36" s="130" t="s">
        <v>15</v>
      </c>
      <c r="T36" s="127">
        <f t="shared" ref="T36:Z36" si="21">AVERAGE(T22:T24,T31:T33)</f>
        <v>7009.5</v>
      </c>
      <c r="U36" s="127">
        <f t="shared" si="21"/>
        <v>6829.166666666667</v>
      </c>
      <c r="V36" s="127">
        <f t="shared" si="21"/>
        <v>6004.833333333333</v>
      </c>
      <c r="W36" s="127">
        <f t="shared" si="21"/>
        <v>4115.833333333333</v>
      </c>
      <c r="X36" s="127">
        <f t="shared" si="21"/>
        <v>5989.833333333333</v>
      </c>
      <c r="Y36" s="127">
        <f t="shared" si="21"/>
        <v>1683.9139217717075</v>
      </c>
      <c r="Z36" s="127">
        <f t="shared" si="21"/>
        <v>1683.9139217717075</v>
      </c>
    </row>
    <row r="37" spans="1:33" x14ac:dyDescent="0.25">
      <c r="J37" s="130" t="s">
        <v>16</v>
      </c>
      <c r="K37" s="127">
        <f t="shared" ref="K37:Q37" si="22">AVERAGE(K25:K30)</f>
        <v>52.666666666666664</v>
      </c>
      <c r="L37" s="127">
        <f t="shared" si="22"/>
        <v>0</v>
      </c>
      <c r="M37" s="127">
        <f t="shared" si="22"/>
        <v>0</v>
      </c>
      <c r="N37" s="127">
        <f t="shared" si="22"/>
        <v>0</v>
      </c>
      <c r="O37" s="127">
        <f t="shared" si="22"/>
        <v>13.166666666666666</v>
      </c>
      <c r="P37" s="127">
        <f t="shared" si="22"/>
        <v>26.333333333333332</v>
      </c>
      <c r="Q37" s="127">
        <f t="shared" si="22"/>
        <v>26.333333333333332</v>
      </c>
      <c r="S37" s="130" t="s">
        <v>16</v>
      </c>
      <c r="T37" s="127">
        <f t="shared" ref="T37:Z37" si="23">AVERAGE(T25:T30)</f>
        <v>10800</v>
      </c>
      <c r="U37" s="127">
        <f t="shared" si="23"/>
        <v>10590</v>
      </c>
      <c r="V37" s="127">
        <f t="shared" si="23"/>
        <v>9593</v>
      </c>
      <c r="W37" s="127">
        <f t="shared" si="23"/>
        <v>10021</v>
      </c>
      <c r="X37" s="127">
        <f t="shared" si="23"/>
        <v>10251</v>
      </c>
      <c r="Y37" s="127">
        <f t="shared" si="23"/>
        <v>981.4300199059503</v>
      </c>
      <c r="Z37" s="127">
        <f t="shared" si="23"/>
        <v>981.4300199059503</v>
      </c>
    </row>
    <row r="38" spans="1:33" ht="15.75" thickBot="1" x14ac:dyDescent="0.3"/>
    <row r="39" spans="1:33" ht="17.25" thickTop="1" thickBot="1" x14ac:dyDescent="0.3">
      <c r="A39" s="140" t="s">
        <v>81</v>
      </c>
      <c r="B39" s="141"/>
      <c r="C39" s="141"/>
      <c r="D39" s="141"/>
      <c r="E39" s="141"/>
      <c r="F39" s="142"/>
    </row>
    <row r="40" spans="1:33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</row>
    <row r="41" spans="1:33" x14ac:dyDescent="0.25">
      <c r="A41" s="119" t="s">
        <v>2</v>
      </c>
      <c r="B41" s="133">
        <v>5101</v>
      </c>
      <c r="C41" s="133">
        <v>4822</v>
      </c>
      <c r="D41" s="133">
        <v>3897</v>
      </c>
      <c r="E41" s="133">
        <v>5333</v>
      </c>
    </row>
    <row r="42" spans="1:33" x14ac:dyDescent="0.25">
      <c r="A42" s="119" t="s">
        <v>3</v>
      </c>
      <c r="B42" s="133">
        <v>6176</v>
      </c>
      <c r="C42" s="133">
        <v>5130</v>
      </c>
      <c r="D42" s="133">
        <v>4250</v>
      </c>
      <c r="E42" s="133">
        <v>5337</v>
      </c>
    </row>
    <row r="43" spans="1:33" x14ac:dyDescent="0.25">
      <c r="A43" s="119" t="s">
        <v>4</v>
      </c>
      <c r="B43" s="133">
        <v>7580</v>
      </c>
      <c r="C43" s="133">
        <v>7253</v>
      </c>
      <c r="D43" s="133">
        <v>5806</v>
      </c>
      <c r="E43" s="133">
        <v>4357</v>
      </c>
    </row>
    <row r="44" spans="1:33" x14ac:dyDescent="0.25">
      <c r="A44" s="119" t="s">
        <v>5</v>
      </c>
      <c r="B44" s="133">
        <v>7129</v>
      </c>
      <c r="C44" s="133">
        <v>6445</v>
      </c>
      <c r="D44" s="133">
        <v>6416</v>
      </c>
      <c r="E44" s="133">
        <v>5750</v>
      </c>
    </row>
    <row r="45" spans="1:33" x14ac:dyDescent="0.25">
      <c r="A45" s="119" t="s">
        <v>6</v>
      </c>
      <c r="B45" s="133">
        <v>7450</v>
      </c>
      <c r="C45" s="133">
        <v>6372</v>
      </c>
      <c r="D45" s="133">
        <v>6599</v>
      </c>
      <c r="E45" s="133">
        <v>6648</v>
      </c>
    </row>
    <row r="46" spans="1:33" x14ac:dyDescent="0.25">
      <c r="A46" s="119" t="s">
        <v>7</v>
      </c>
      <c r="B46" s="133">
        <v>8926</v>
      </c>
      <c r="C46" s="133">
        <v>7299</v>
      </c>
      <c r="D46" s="133">
        <v>6220</v>
      </c>
      <c r="E46" s="133">
        <v>7574</v>
      </c>
    </row>
    <row r="47" spans="1:33" x14ac:dyDescent="0.25">
      <c r="A47" s="119" t="s">
        <v>8</v>
      </c>
      <c r="B47" s="133">
        <v>6781</v>
      </c>
      <c r="C47" s="133">
        <v>8294</v>
      </c>
      <c r="D47" s="133">
        <v>8163</v>
      </c>
      <c r="E47" s="133">
        <v>9076</v>
      </c>
    </row>
    <row r="48" spans="1:33" x14ac:dyDescent="0.25">
      <c r="A48" s="119" t="s">
        <v>9</v>
      </c>
      <c r="B48" s="133">
        <v>6332</v>
      </c>
      <c r="C48" s="133">
        <v>6199</v>
      </c>
      <c r="D48" s="133">
        <v>6174</v>
      </c>
      <c r="E48" s="133">
        <v>7058</v>
      </c>
    </row>
    <row r="49" spans="1:33" x14ac:dyDescent="0.25">
      <c r="A49" s="119" t="s">
        <v>10</v>
      </c>
      <c r="B49" s="133">
        <v>6298</v>
      </c>
      <c r="C49" s="133">
        <v>6478</v>
      </c>
      <c r="D49" s="133">
        <v>5481</v>
      </c>
      <c r="E49" s="133">
        <v>6054</v>
      </c>
    </row>
    <row r="50" spans="1:33" x14ac:dyDescent="0.25">
      <c r="A50" s="119" t="s">
        <v>11</v>
      </c>
      <c r="B50" s="133">
        <v>6990</v>
      </c>
      <c r="C50" s="133">
        <v>6290</v>
      </c>
      <c r="D50" s="133">
        <v>5189</v>
      </c>
      <c r="E50" s="133">
        <v>5510</v>
      </c>
    </row>
    <row r="51" spans="1:33" x14ac:dyDescent="0.25">
      <c r="A51" s="119" t="s">
        <v>12</v>
      </c>
      <c r="B51" s="133">
        <v>5054</v>
      </c>
      <c r="C51" s="133">
        <v>6603</v>
      </c>
      <c r="D51" s="133">
        <v>4758</v>
      </c>
      <c r="E51" s="133"/>
    </row>
    <row r="52" spans="1:33" ht="15.75" thickBot="1" x14ac:dyDescent="0.3">
      <c r="A52" s="119" t="s">
        <v>13</v>
      </c>
      <c r="B52" s="133">
        <v>4205</v>
      </c>
      <c r="C52" s="133">
        <v>4006</v>
      </c>
      <c r="D52" s="133">
        <v>4934</v>
      </c>
      <c r="E52" s="133"/>
    </row>
    <row r="53" spans="1:33" ht="16.5" thickTop="1" thickBot="1" x14ac:dyDescent="0.3">
      <c r="A53" s="128" t="s">
        <v>0</v>
      </c>
      <c r="B53" s="129">
        <v>78022</v>
      </c>
      <c r="C53" s="129">
        <v>75191</v>
      </c>
      <c r="D53" s="129">
        <v>67887</v>
      </c>
      <c r="E53" s="129">
        <v>7058</v>
      </c>
    </row>
    <row r="54" spans="1:33" ht="15.75" thickTop="1" x14ac:dyDescent="0.25">
      <c r="A54" s="1" t="s">
        <v>14</v>
      </c>
      <c r="B54" s="1"/>
      <c r="C54" s="1"/>
      <c r="D54" s="1"/>
      <c r="E54" s="1"/>
      <c r="F54" s="1"/>
    </row>
    <row r="55" spans="1:33" ht="15.75" thickBot="1" x14ac:dyDescent="0.3">
      <c r="AB55"/>
      <c r="AC55"/>
      <c r="AD55"/>
      <c r="AE55"/>
      <c r="AF55"/>
    </row>
    <row r="56" spans="1:33" ht="17.25" thickTop="1" thickBot="1" x14ac:dyDescent="0.3">
      <c r="AB56"/>
      <c r="AC56" s="140" t="s">
        <v>272</v>
      </c>
      <c r="AD56" s="141"/>
      <c r="AE56" s="141"/>
      <c r="AF56" s="141"/>
      <c r="AG56" s="141"/>
    </row>
    <row r="57" spans="1:33" ht="16.5" thickTop="1" x14ac:dyDescent="0.25">
      <c r="AB57"/>
      <c r="AC57" s="124"/>
      <c r="AD57" s="125">
        <v>2014</v>
      </c>
      <c r="AE57" s="125">
        <v>2015</v>
      </c>
      <c r="AF57" s="125">
        <v>2016</v>
      </c>
      <c r="AG57" s="125">
        <v>2017</v>
      </c>
    </row>
    <row r="58" spans="1:33" x14ac:dyDescent="0.25">
      <c r="AB58"/>
      <c r="AC58" s="119" t="s">
        <v>2</v>
      </c>
      <c r="AD58" s="77">
        <f>B91</f>
        <v>472</v>
      </c>
      <c r="AE58" s="77">
        <f t="shared" ref="AE58:AF58" si="24">C91</f>
        <v>810</v>
      </c>
      <c r="AF58" s="77">
        <f t="shared" si="24"/>
        <v>774</v>
      </c>
      <c r="AG58" s="77">
        <f>E91</f>
        <v>814</v>
      </c>
    </row>
    <row r="59" spans="1:33" x14ac:dyDescent="0.25">
      <c r="AB59"/>
      <c r="AC59" s="119" t="s">
        <v>3</v>
      </c>
      <c r="AD59" s="77">
        <f t="shared" ref="AD59:AD69" si="25">B92</f>
        <v>793</v>
      </c>
      <c r="AE59" s="77">
        <f t="shared" ref="AE59:AE69" si="26">C92</f>
        <v>789</v>
      </c>
      <c r="AF59" s="77">
        <f t="shared" ref="AF59:AG69" si="27">D92</f>
        <v>849</v>
      </c>
      <c r="AG59" s="77">
        <f t="shared" si="27"/>
        <v>735</v>
      </c>
    </row>
    <row r="60" spans="1:33" x14ac:dyDescent="0.25">
      <c r="AB60"/>
      <c r="AC60" s="119" t="s">
        <v>4</v>
      </c>
      <c r="AD60" s="77">
        <f t="shared" si="25"/>
        <v>1077</v>
      </c>
      <c r="AE60" s="77">
        <f t="shared" si="26"/>
        <v>1034</v>
      </c>
      <c r="AF60" s="77">
        <f t="shared" si="27"/>
        <v>1084</v>
      </c>
      <c r="AG60" s="77">
        <f t="shared" ref="AG60:AG67" si="28">E93</f>
        <v>478</v>
      </c>
    </row>
    <row r="61" spans="1:33" x14ac:dyDescent="0.25">
      <c r="AB61"/>
      <c r="AC61" s="119" t="s">
        <v>5</v>
      </c>
      <c r="AD61" s="77">
        <f t="shared" si="25"/>
        <v>1560</v>
      </c>
      <c r="AE61" s="77">
        <f t="shared" si="26"/>
        <v>1949</v>
      </c>
      <c r="AF61" s="77">
        <f t="shared" si="27"/>
        <v>1960</v>
      </c>
      <c r="AG61" s="77">
        <f t="shared" si="28"/>
        <v>1675</v>
      </c>
    </row>
    <row r="62" spans="1:33" x14ac:dyDescent="0.25">
      <c r="AB62"/>
      <c r="AC62" s="119" t="s">
        <v>6</v>
      </c>
      <c r="AD62" s="77">
        <f t="shared" si="25"/>
        <v>2607</v>
      </c>
      <c r="AE62" s="77">
        <f t="shared" si="26"/>
        <v>2734</v>
      </c>
      <c r="AF62" s="77">
        <f t="shared" si="27"/>
        <v>2153</v>
      </c>
      <c r="AG62" s="77">
        <f t="shared" si="28"/>
        <v>1846</v>
      </c>
    </row>
    <row r="63" spans="1:33" x14ac:dyDescent="0.25">
      <c r="AB63"/>
      <c r="AC63" s="119" t="s">
        <v>7</v>
      </c>
      <c r="AD63" s="77">
        <f t="shared" si="25"/>
        <v>3503</v>
      </c>
      <c r="AE63" s="77">
        <f t="shared" si="26"/>
        <v>2728</v>
      </c>
      <c r="AF63" s="77">
        <f t="shared" si="27"/>
        <v>2562</v>
      </c>
      <c r="AG63" s="77">
        <f t="shared" si="28"/>
        <v>2671</v>
      </c>
    </row>
    <row r="64" spans="1:33" x14ac:dyDescent="0.25">
      <c r="AB64"/>
      <c r="AC64" s="119" t="s">
        <v>8</v>
      </c>
      <c r="AD64" s="77">
        <f t="shared" si="25"/>
        <v>3867</v>
      </c>
      <c r="AE64" s="77">
        <f t="shared" si="26"/>
        <v>4761</v>
      </c>
      <c r="AF64" s="77">
        <f t="shared" si="27"/>
        <v>4472</v>
      </c>
      <c r="AG64" s="77">
        <f t="shared" si="28"/>
        <v>4152</v>
      </c>
    </row>
    <row r="65" spans="1:33" x14ac:dyDescent="0.25">
      <c r="AB65"/>
      <c r="AC65" s="119" t="s">
        <v>9</v>
      </c>
      <c r="AD65" s="77">
        <f t="shared" si="25"/>
        <v>6879</v>
      </c>
      <c r="AE65" s="77">
        <f t="shared" si="26"/>
        <v>7331</v>
      </c>
      <c r="AF65" s="77">
        <f t="shared" si="27"/>
        <v>4416</v>
      </c>
      <c r="AG65" s="77">
        <f t="shared" si="28"/>
        <v>4641</v>
      </c>
    </row>
    <row r="66" spans="1:33" x14ac:dyDescent="0.25">
      <c r="AB66"/>
      <c r="AC66" s="119" t="s">
        <v>10</v>
      </c>
      <c r="AD66" s="77">
        <f t="shared" si="25"/>
        <v>3152</v>
      </c>
      <c r="AE66" s="77">
        <f t="shared" si="26"/>
        <v>2950</v>
      </c>
      <c r="AF66" s="77">
        <f t="shared" si="27"/>
        <v>2942</v>
      </c>
      <c r="AG66" s="77">
        <f t="shared" si="28"/>
        <v>2981</v>
      </c>
    </row>
    <row r="67" spans="1:33" x14ac:dyDescent="0.25">
      <c r="AB67"/>
      <c r="AC67" s="119" t="s">
        <v>11</v>
      </c>
      <c r="AD67" s="77">
        <f t="shared" si="25"/>
        <v>2187</v>
      </c>
      <c r="AE67" s="77">
        <f t="shared" si="26"/>
        <v>2132</v>
      </c>
      <c r="AF67" s="77">
        <f t="shared" si="27"/>
        <v>2194</v>
      </c>
      <c r="AG67" s="77">
        <f t="shared" si="28"/>
        <v>2131</v>
      </c>
    </row>
    <row r="68" spans="1:33" x14ac:dyDescent="0.25">
      <c r="AB68"/>
      <c r="AC68" s="119" t="s">
        <v>12</v>
      </c>
      <c r="AD68" s="77">
        <f t="shared" si="25"/>
        <v>1248</v>
      </c>
      <c r="AE68" s="77">
        <f t="shared" si="26"/>
        <v>938</v>
      </c>
      <c r="AF68" s="77">
        <f t="shared" si="27"/>
        <v>1023</v>
      </c>
      <c r="AG68" s="77"/>
    </row>
    <row r="69" spans="1:33" ht="15.75" thickBot="1" x14ac:dyDescent="0.3">
      <c r="AB69"/>
      <c r="AC69" s="139" t="s">
        <v>13</v>
      </c>
      <c r="AD69" s="77">
        <f t="shared" si="25"/>
        <v>1174</v>
      </c>
      <c r="AE69" s="77">
        <f t="shared" si="26"/>
        <v>1168</v>
      </c>
      <c r="AF69" s="77">
        <f t="shared" si="27"/>
        <v>1271</v>
      </c>
      <c r="AG69" s="77"/>
    </row>
    <row r="70" spans="1:33" ht="16.5" thickTop="1" thickBot="1" x14ac:dyDescent="0.3">
      <c r="AC70" s="138" t="s">
        <v>0</v>
      </c>
      <c r="AD70" s="170">
        <f>SUM(AD58:AD69)</f>
        <v>28519</v>
      </c>
      <c r="AE70" s="170">
        <f>SUM(AE58:AE69)</f>
        <v>29324</v>
      </c>
      <c r="AF70" s="170">
        <f>SUM(AF58:AF69)</f>
        <v>25700</v>
      </c>
      <c r="AG70" s="170">
        <f>SUM(AG58:AG69)</f>
        <v>22124</v>
      </c>
    </row>
    <row r="71" spans="1:33" ht="16.5" thickTop="1" thickBot="1" x14ac:dyDescent="0.3"/>
    <row r="72" spans="1:33" ht="17.25" thickTop="1" thickBot="1" x14ac:dyDescent="0.3">
      <c r="A72" s="140" t="s">
        <v>115</v>
      </c>
      <c r="B72" s="141"/>
      <c r="C72" s="141"/>
      <c r="D72" s="141"/>
      <c r="E72" s="141"/>
      <c r="AC72" s="140" t="s">
        <v>253</v>
      </c>
      <c r="AD72" s="141"/>
      <c r="AE72" s="141"/>
      <c r="AF72" s="141"/>
      <c r="AG72" s="141"/>
    </row>
    <row r="73" spans="1:33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  <c r="AC73" s="124"/>
      <c r="AD73" s="125">
        <v>2014</v>
      </c>
      <c r="AE73" s="125">
        <v>2015</v>
      </c>
      <c r="AF73" s="125">
        <v>2016</v>
      </c>
      <c r="AG73" s="125">
        <v>2017</v>
      </c>
    </row>
    <row r="74" spans="1:33" x14ac:dyDescent="0.25">
      <c r="A74" s="119" t="s">
        <v>2</v>
      </c>
      <c r="B74" s="133">
        <v>0</v>
      </c>
      <c r="C74" s="133">
        <v>0</v>
      </c>
      <c r="D74" s="133">
        <v>0</v>
      </c>
      <c r="E74" s="134"/>
      <c r="AC74" s="119" t="s">
        <v>2</v>
      </c>
      <c r="AD74" s="77">
        <f t="shared" ref="AD74:AG83" si="29">-1*AC22</f>
        <v>5573</v>
      </c>
      <c r="AE74" s="77">
        <f t="shared" si="29"/>
        <v>5632</v>
      </c>
      <c r="AF74" s="77">
        <f t="shared" si="29"/>
        <v>4671</v>
      </c>
      <c r="AG74" s="77">
        <f t="shared" si="29"/>
        <v>6147</v>
      </c>
    </row>
    <row r="75" spans="1:33" x14ac:dyDescent="0.25">
      <c r="A75" s="119" t="s">
        <v>3</v>
      </c>
      <c r="B75" s="133">
        <v>0</v>
      </c>
      <c r="C75" s="133">
        <v>0</v>
      </c>
      <c r="D75" s="133">
        <v>0</v>
      </c>
      <c r="E75" s="134"/>
      <c r="AC75" s="119" t="s">
        <v>3</v>
      </c>
      <c r="AD75" s="77">
        <f t="shared" si="29"/>
        <v>6969</v>
      </c>
      <c r="AE75" s="77">
        <f t="shared" si="29"/>
        <v>5919</v>
      </c>
      <c r="AF75" s="77">
        <f t="shared" si="29"/>
        <v>5099</v>
      </c>
      <c r="AG75" s="77">
        <f t="shared" si="29"/>
        <v>6072</v>
      </c>
    </row>
    <row r="76" spans="1:33" x14ac:dyDescent="0.25">
      <c r="A76" s="119" t="s">
        <v>4</v>
      </c>
      <c r="B76" s="133">
        <v>0</v>
      </c>
      <c r="C76" s="133">
        <v>0</v>
      </c>
      <c r="D76" s="133">
        <v>0</v>
      </c>
      <c r="E76" s="134"/>
      <c r="AC76" s="119" t="s">
        <v>4</v>
      </c>
      <c r="AD76" s="77">
        <f t="shared" si="29"/>
        <v>8657</v>
      </c>
      <c r="AE76" s="77">
        <f t="shared" si="29"/>
        <v>8287</v>
      </c>
      <c r="AF76" s="77">
        <f t="shared" si="29"/>
        <v>6890</v>
      </c>
      <c r="AG76" s="77">
        <f t="shared" si="29"/>
        <v>4835</v>
      </c>
    </row>
    <row r="77" spans="1:33" x14ac:dyDescent="0.25">
      <c r="A77" s="119" t="s">
        <v>5</v>
      </c>
      <c r="B77" s="133">
        <v>314</v>
      </c>
      <c r="C77" s="133">
        <v>0</v>
      </c>
      <c r="D77" s="133">
        <v>0</v>
      </c>
      <c r="E77" s="134"/>
      <c r="AC77" s="119" t="s">
        <v>5</v>
      </c>
      <c r="AD77" s="77">
        <f t="shared" si="29"/>
        <v>9003</v>
      </c>
      <c r="AE77" s="77">
        <f t="shared" si="29"/>
        <v>8394</v>
      </c>
      <c r="AF77" s="77">
        <f t="shared" si="29"/>
        <v>8376</v>
      </c>
      <c r="AG77" s="77">
        <f t="shared" si="29"/>
        <v>7425</v>
      </c>
    </row>
    <row r="78" spans="1:33" x14ac:dyDescent="0.25">
      <c r="A78" s="119" t="s">
        <v>6</v>
      </c>
      <c r="B78" s="133">
        <v>0</v>
      </c>
      <c r="C78" s="133">
        <v>0</v>
      </c>
      <c r="D78" s="133">
        <v>0</v>
      </c>
      <c r="E78" s="134"/>
      <c r="AC78" s="119" t="s">
        <v>6</v>
      </c>
      <c r="AD78" s="77">
        <f t="shared" si="29"/>
        <v>10057</v>
      </c>
      <c r="AE78" s="77">
        <f t="shared" si="29"/>
        <v>9106</v>
      </c>
      <c r="AF78" s="77">
        <f t="shared" si="29"/>
        <v>8752</v>
      </c>
      <c r="AG78" s="77">
        <f t="shared" si="29"/>
        <v>8494</v>
      </c>
    </row>
    <row r="79" spans="1:33" x14ac:dyDescent="0.25">
      <c r="A79" s="119" t="s">
        <v>7</v>
      </c>
      <c r="B79" s="133">
        <v>0</v>
      </c>
      <c r="C79" s="133">
        <v>0</v>
      </c>
      <c r="D79" s="133">
        <v>0</v>
      </c>
      <c r="E79" s="134"/>
      <c r="AC79" s="119" t="s">
        <v>7</v>
      </c>
      <c r="AD79" s="77">
        <f t="shared" si="29"/>
        <v>12429</v>
      </c>
      <c r="AE79" s="77">
        <f t="shared" si="29"/>
        <v>10027</v>
      </c>
      <c r="AF79" s="77">
        <f t="shared" si="29"/>
        <v>23412</v>
      </c>
      <c r="AG79" s="77">
        <f t="shared" si="29"/>
        <v>10245</v>
      </c>
    </row>
    <row r="80" spans="1:33" x14ac:dyDescent="0.25">
      <c r="A80" s="119" t="s">
        <v>8</v>
      </c>
      <c r="B80" s="133">
        <v>2</v>
      </c>
      <c r="C80" s="133">
        <v>0</v>
      </c>
      <c r="D80" s="133">
        <v>0</v>
      </c>
      <c r="E80" s="134"/>
      <c r="AC80" s="119" t="s">
        <v>8</v>
      </c>
      <c r="AD80" s="77">
        <f t="shared" si="29"/>
        <v>10650</v>
      </c>
      <c r="AE80" s="77">
        <f t="shared" si="29"/>
        <v>13055</v>
      </c>
      <c r="AF80" s="77">
        <f t="shared" si="29"/>
        <v>28843</v>
      </c>
      <c r="AG80" s="77">
        <f t="shared" si="29"/>
        <v>13228</v>
      </c>
    </row>
    <row r="81" spans="1:33" x14ac:dyDescent="0.25">
      <c r="A81" s="119" t="s">
        <v>9</v>
      </c>
      <c r="B81" s="133">
        <v>0</v>
      </c>
      <c r="C81" s="133">
        <v>0</v>
      </c>
      <c r="D81" s="133">
        <v>0</v>
      </c>
      <c r="E81" s="134"/>
      <c r="AC81" s="119" t="s">
        <v>9</v>
      </c>
      <c r="AD81" s="77">
        <f t="shared" si="29"/>
        <v>13211</v>
      </c>
      <c r="AE81" s="77">
        <f t="shared" si="29"/>
        <v>13530</v>
      </c>
      <c r="AF81" s="77">
        <f t="shared" si="29"/>
        <v>28587</v>
      </c>
      <c r="AG81" s="77">
        <f t="shared" si="29"/>
        <v>11699</v>
      </c>
    </row>
    <row r="82" spans="1:33" x14ac:dyDescent="0.25">
      <c r="A82" s="119" t="s">
        <v>10</v>
      </c>
      <c r="B82" s="133">
        <v>0</v>
      </c>
      <c r="C82" s="133">
        <v>0</v>
      </c>
      <c r="D82" s="133">
        <v>0</v>
      </c>
      <c r="E82" s="134"/>
      <c r="AC82" s="119" t="s">
        <v>10</v>
      </c>
      <c r="AD82" s="77">
        <f t="shared" si="29"/>
        <v>9450</v>
      </c>
      <c r="AE82" s="77">
        <f t="shared" si="29"/>
        <v>9428</v>
      </c>
      <c r="AF82" s="77">
        <f t="shared" si="29"/>
        <v>22946</v>
      </c>
      <c r="AG82" s="77">
        <f t="shared" si="29"/>
        <v>9035</v>
      </c>
    </row>
    <row r="83" spans="1:33" x14ac:dyDescent="0.25">
      <c r="A83" s="119" t="s">
        <v>11</v>
      </c>
      <c r="B83" s="133">
        <v>0</v>
      </c>
      <c r="C83" s="133">
        <v>0</v>
      </c>
      <c r="D83" s="133">
        <v>0</v>
      </c>
      <c r="E83" s="134"/>
      <c r="AC83" s="119" t="s">
        <v>11</v>
      </c>
      <c r="AD83" s="77">
        <f t="shared" si="29"/>
        <v>9177</v>
      </c>
      <c r="AE83" s="77">
        <f t="shared" si="29"/>
        <v>8422</v>
      </c>
      <c r="AF83" s="77">
        <f t="shared" si="29"/>
        <v>9279</v>
      </c>
      <c r="AG83" s="77">
        <f t="shared" si="29"/>
        <v>7641</v>
      </c>
    </row>
    <row r="84" spans="1:33" x14ac:dyDescent="0.25">
      <c r="A84" s="119" t="s">
        <v>12</v>
      </c>
      <c r="B84" s="133">
        <v>0</v>
      </c>
      <c r="C84" s="133">
        <v>0</v>
      </c>
      <c r="D84" s="133">
        <v>0</v>
      </c>
      <c r="E84" s="134"/>
      <c r="AC84" s="119" t="s">
        <v>12</v>
      </c>
      <c r="AD84" s="77">
        <f t="shared" ref="AD84:AF85" si="30">-1*AC32</f>
        <v>6302</v>
      </c>
      <c r="AE84" s="77">
        <f t="shared" si="30"/>
        <v>7541</v>
      </c>
      <c r="AF84" s="77">
        <f t="shared" si="30"/>
        <v>17157</v>
      </c>
      <c r="AG84" s="77"/>
    </row>
    <row r="85" spans="1:33" ht="15.75" thickBot="1" x14ac:dyDescent="0.3">
      <c r="A85" s="119" t="s">
        <v>13</v>
      </c>
      <c r="B85" s="114">
        <v>0</v>
      </c>
      <c r="C85" s="114">
        <v>0</v>
      </c>
      <c r="D85" s="44">
        <v>0</v>
      </c>
      <c r="E85" s="44"/>
      <c r="AC85" s="139" t="s">
        <v>13</v>
      </c>
      <c r="AD85" s="43">
        <f t="shared" si="30"/>
        <v>5379</v>
      </c>
      <c r="AE85" s="43">
        <f t="shared" si="30"/>
        <v>5174</v>
      </c>
      <c r="AF85" s="43">
        <f t="shared" si="30"/>
        <v>17581</v>
      </c>
      <c r="AG85" s="43"/>
    </row>
    <row r="86" spans="1:33" ht="16.5" thickTop="1" thickBot="1" x14ac:dyDescent="0.3">
      <c r="A86" s="128" t="s">
        <v>0</v>
      </c>
      <c r="B86" s="137">
        <f t="shared" ref="B86:E86" si="31">SUM(B74:B85)</f>
        <v>316</v>
      </c>
      <c r="C86" s="137">
        <f t="shared" si="31"/>
        <v>0</v>
      </c>
      <c r="D86" s="137">
        <f t="shared" si="31"/>
        <v>0</v>
      </c>
      <c r="E86" s="137">
        <f t="shared" si="31"/>
        <v>0</v>
      </c>
      <c r="AC86" s="138" t="s">
        <v>0</v>
      </c>
      <c r="AD86" s="170">
        <f>SUM(AD74:AD85)</f>
        <v>106857</v>
      </c>
      <c r="AE86" s="170">
        <f>SUM(AE74:AE85)</f>
        <v>104515</v>
      </c>
      <c r="AF86" s="170">
        <f>SUM(AF74:AF85)</f>
        <v>181593</v>
      </c>
      <c r="AG86" s="170">
        <f>SUM(AG74:AG85)</f>
        <v>84821</v>
      </c>
    </row>
    <row r="87" spans="1:33" ht="15.75" thickTop="1" x14ac:dyDescent="0.25">
      <c r="A87" s="136" t="s">
        <v>14</v>
      </c>
      <c r="B87" s="136"/>
      <c r="C87" s="136"/>
      <c r="D87" s="136"/>
      <c r="E87" s="136"/>
    </row>
    <row r="88" spans="1:33" ht="15.75" thickBot="1" x14ac:dyDescent="0.3"/>
    <row r="89" spans="1:33" ht="17.25" thickTop="1" thickBot="1" x14ac:dyDescent="0.3">
      <c r="A89" s="140" t="s">
        <v>114</v>
      </c>
      <c r="B89" s="141"/>
      <c r="C89" s="141"/>
      <c r="D89" s="141"/>
      <c r="E89" s="141"/>
      <c r="M89"/>
      <c r="N89"/>
      <c r="O89"/>
      <c r="P89"/>
      <c r="Q89"/>
      <c r="R89"/>
      <c r="S89"/>
      <c r="T89"/>
      <c r="U89"/>
      <c r="V89"/>
    </row>
    <row r="90" spans="1:33" ht="16.5" thickTop="1" x14ac:dyDescent="0.25">
      <c r="A90" s="124"/>
      <c r="B90" s="125">
        <v>2014</v>
      </c>
      <c r="C90" s="125">
        <v>2015</v>
      </c>
      <c r="D90" s="125">
        <v>2016</v>
      </c>
      <c r="E90" s="125">
        <v>2017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3" x14ac:dyDescent="0.25">
      <c r="A91" s="119" t="s">
        <v>2</v>
      </c>
      <c r="B91" s="84">
        <v>472</v>
      </c>
      <c r="C91" s="84">
        <v>810</v>
      </c>
      <c r="D91" s="84">
        <v>774</v>
      </c>
      <c r="E91" s="84">
        <v>814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3" x14ac:dyDescent="0.25">
      <c r="A92" s="119" t="s">
        <v>3</v>
      </c>
      <c r="B92" s="84">
        <v>793</v>
      </c>
      <c r="C92" s="84">
        <v>789</v>
      </c>
      <c r="D92" s="84">
        <v>849</v>
      </c>
      <c r="E92" s="84">
        <v>735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3" x14ac:dyDescent="0.25">
      <c r="A93" s="119" t="s">
        <v>4</v>
      </c>
      <c r="B93" s="84">
        <v>1077</v>
      </c>
      <c r="C93" s="84">
        <v>1034</v>
      </c>
      <c r="D93" s="84">
        <v>1084</v>
      </c>
      <c r="E93" s="84">
        <v>478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3" x14ac:dyDescent="0.25">
      <c r="A94" s="119" t="s">
        <v>5</v>
      </c>
      <c r="B94" s="84">
        <v>1560</v>
      </c>
      <c r="C94" s="84">
        <v>1949</v>
      </c>
      <c r="D94" s="84">
        <v>1960</v>
      </c>
      <c r="E94" s="84">
        <v>1675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3" x14ac:dyDescent="0.25">
      <c r="A95" s="119" t="s">
        <v>6</v>
      </c>
      <c r="B95" s="84">
        <v>2607</v>
      </c>
      <c r="C95" s="84">
        <v>2734</v>
      </c>
      <c r="D95" s="84">
        <v>2153</v>
      </c>
      <c r="E95" s="84">
        <v>1846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3" x14ac:dyDescent="0.25">
      <c r="A96" s="119" t="s">
        <v>7</v>
      </c>
      <c r="B96" s="84">
        <v>3503</v>
      </c>
      <c r="C96" s="84">
        <v>2728</v>
      </c>
      <c r="D96" s="84">
        <v>2562</v>
      </c>
      <c r="E96" s="84">
        <v>2671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x14ac:dyDescent="0.25">
      <c r="A97" s="119" t="s">
        <v>8</v>
      </c>
      <c r="B97" s="84">
        <v>3867</v>
      </c>
      <c r="C97" s="84">
        <v>4761</v>
      </c>
      <c r="D97" s="84">
        <v>4472</v>
      </c>
      <c r="E97" s="84">
        <v>4152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x14ac:dyDescent="0.25">
      <c r="A98" s="119" t="s">
        <v>9</v>
      </c>
      <c r="B98" s="84">
        <v>6879</v>
      </c>
      <c r="C98" s="84">
        <v>7331</v>
      </c>
      <c r="D98" s="84">
        <v>4416</v>
      </c>
      <c r="E98" s="84">
        <v>4641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x14ac:dyDescent="0.25">
      <c r="A99" s="119" t="s">
        <v>10</v>
      </c>
      <c r="B99" s="84">
        <v>3152</v>
      </c>
      <c r="C99" s="84">
        <v>2950</v>
      </c>
      <c r="D99" s="84">
        <v>2942</v>
      </c>
      <c r="E99" s="84">
        <v>2981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x14ac:dyDescent="0.25">
      <c r="A100" s="119" t="s">
        <v>11</v>
      </c>
      <c r="B100" s="84">
        <v>2187</v>
      </c>
      <c r="C100" s="84">
        <v>2132</v>
      </c>
      <c r="D100" s="84">
        <v>2194</v>
      </c>
      <c r="E100" s="84">
        <v>2131</v>
      </c>
      <c r="M100"/>
      <c r="N100"/>
      <c r="O100"/>
      <c r="P100"/>
      <c r="Q100"/>
      <c r="R100"/>
      <c r="S100"/>
      <c r="T100"/>
      <c r="U100"/>
      <c r="V100"/>
    </row>
    <row r="101" spans="1:30" x14ac:dyDescent="0.25">
      <c r="A101" s="119" t="s">
        <v>12</v>
      </c>
      <c r="B101" s="84">
        <v>1248</v>
      </c>
      <c r="C101" s="84">
        <v>938</v>
      </c>
      <c r="D101" s="84">
        <v>1023</v>
      </c>
      <c r="E101" s="84"/>
      <c r="M101"/>
      <c r="N101"/>
      <c r="O101"/>
      <c r="P101"/>
      <c r="Q101"/>
      <c r="R101"/>
      <c r="S101"/>
      <c r="T101"/>
      <c r="U101"/>
      <c r="V101"/>
    </row>
    <row r="102" spans="1:30" ht="15.75" thickBot="1" x14ac:dyDescent="0.3">
      <c r="A102" s="119" t="s">
        <v>13</v>
      </c>
      <c r="B102" s="84">
        <v>1174</v>
      </c>
      <c r="C102" s="84">
        <v>1168</v>
      </c>
      <c r="D102" s="159">
        <v>1271</v>
      </c>
      <c r="E102" s="143"/>
      <c r="M102"/>
      <c r="N102"/>
      <c r="O102"/>
      <c r="P102"/>
      <c r="Q102"/>
      <c r="R102"/>
      <c r="S102"/>
      <c r="T102"/>
      <c r="U102"/>
      <c r="V102"/>
    </row>
    <row r="103" spans="1:30" ht="16.5" thickTop="1" thickBot="1" x14ac:dyDescent="0.3">
      <c r="A103" s="128" t="s">
        <v>0</v>
      </c>
      <c r="B103" s="137">
        <f>SUM(B91:B102)</f>
        <v>28519</v>
      </c>
      <c r="C103" s="137">
        <f t="shared" ref="C103:E103" si="32">SUM(C91:C102)</f>
        <v>29324</v>
      </c>
      <c r="D103" s="137">
        <f t="shared" si="32"/>
        <v>25700</v>
      </c>
      <c r="E103" s="137">
        <f t="shared" si="32"/>
        <v>22124</v>
      </c>
      <c r="M103"/>
      <c r="N103"/>
      <c r="O103"/>
      <c r="P103"/>
      <c r="Q103"/>
      <c r="R103"/>
      <c r="S103"/>
      <c r="T103"/>
      <c r="U103"/>
      <c r="V103"/>
    </row>
    <row r="104" spans="1:30" ht="15.75" thickTop="1" x14ac:dyDescent="0.25">
      <c r="A104" s="136" t="s">
        <v>14</v>
      </c>
      <c r="B104" s="136"/>
      <c r="C104" s="136"/>
      <c r="D104" s="136"/>
      <c r="E104" s="136"/>
      <c r="M104"/>
      <c r="N104"/>
      <c r="O104"/>
      <c r="P104"/>
      <c r="Q104"/>
      <c r="R104"/>
      <c r="S104"/>
      <c r="T104"/>
      <c r="U104"/>
      <c r="V104"/>
    </row>
    <row r="105" spans="1:30" x14ac:dyDescent="0.25">
      <c r="A105"/>
      <c r="B105"/>
      <c r="C105"/>
      <c r="D105"/>
      <c r="E105"/>
      <c r="F105"/>
      <c r="G105"/>
    </row>
    <row r="106" spans="1:30" x14ac:dyDescent="0.25">
      <c r="A106"/>
      <c r="B106"/>
      <c r="C106"/>
      <c r="D106"/>
      <c r="E106"/>
      <c r="F106"/>
      <c r="G106"/>
    </row>
    <row r="107" spans="1:30" x14ac:dyDescent="0.25">
      <c r="A107"/>
      <c r="B107"/>
      <c r="C107"/>
      <c r="D107"/>
      <c r="E107"/>
      <c r="F107"/>
      <c r="G107"/>
    </row>
    <row r="108" spans="1:30" x14ac:dyDescent="0.25">
      <c r="A108"/>
      <c r="B108"/>
      <c r="C108"/>
      <c r="D108"/>
      <c r="E108"/>
      <c r="F108"/>
      <c r="G108"/>
    </row>
    <row r="109" spans="1:30" x14ac:dyDescent="0.25">
      <c r="A109"/>
      <c r="B109"/>
      <c r="C109"/>
      <c r="D109"/>
      <c r="E109"/>
      <c r="F109"/>
      <c r="G109"/>
    </row>
    <row r="110" spans="1:30" x14ac:dyDescent="0.25">
      <c r="A110"/>
      <c r="B110"/>
      <c r="C110"/>
      <c r="D110"/>
      <c r="E110"/>
      <c r="F110"/>
      <c r="G110"/>
    </row>
    <row r="111" spans="1:30" x14ac:dyDescent="0.25">
      <c r="A111"/>
      <c r="B111"/>
      <c r="C111"/>
      <c r="D111"/>
      <c r="E111"/>
      <c r="F111"/>
      <c r="G111"/>
    </row>
    <row r="112" spans="1:30" x14ac:dyDescent="0.25">
      <c r="A112"/>
      <c r="B112"/>
      <c r="C112"/>
      <c r="D112"/>
      <c r="E112"/>
      <c r="F112"/>
      <c r="G112"/>
    </row>
    <row r="113" spans="1:7" x14ac:dyDescent="0.25">
      <c r="A113"/>
      <c r="B113"/>
      <c r="C113"/>
      <c r="D113"/>
      <c r="E113"/>
      <c r="F113"/>
      <c r="G113"/>
    </row>
    <row r="114" spans="1:7" x14ac:dyDescent="0.25">
      <c r="A114"/>
      <c r="B114"/>
      <c r="C114"/>
      <c r="D114"/>
      <c r="E114"/>
      <c r="F114"/>
      <c r="G114"/>
    </row>
    <row r="115" spans="1:7" x14ac:dyDescent="0.25">
      <c r="A115"/>
      <c r="B115"/>
      <c r="C115"/>
      <c r="D115"/>
      <c r="E115"/>
      <c r="F115"/>
      <c r="G115"/>
    </row>
    <row r="116" spans="1:7" x14ac:dyDescent="0.25">
      <c r="A116"/>
      <c r="B116"/>
      <c r="C116"/>
      <c r="D116"/>
      <c r="E116"/>
      <c r="F116"/>
      <c r="G116"/>
    </row>
    <row r="117" spans="1:7" x14ac:dyDescent="0.25">
      <c r="A117"/>
      <c r="B117"/>
      <c r="C117"/>
      <c r="D117"/>
      <c r="E117"/>
      <c r="F117"/>
      <c r="G117"/>
    </row>
    <row r="118" spans="1:7" x14ac:dyDescent="0.25">
      <c r="A118"/>
      <c r="B118"/>
      <c r="C118"/>
      <c r="D118"/>
      <c r="E118"/>
      <c r="F118"/>
      <c r="G118"/>
    </row>
    <row r="119" spans="1:7" x14ac:dyDescent="0.25">
      <c r="A119"/>
      <c r="B119"/>
      <c r="C119"/>
      <c r="D119"/>
      <c r="E119"/>
      <c r="F119"/>
      <c r="G119"/>
    </row>
    <row r="120" spans="1:7" x14ac:dyDescent="0.25">
      <c r="A120"/>
      <c r="B120"/>
      <c r="C120"/>
      <c r="D120"/>
      <c r="E120"/>
      <c r="F120"/>
      <c r="G120"/>
    </row>
    <row r="121" spans="1:7" x14ac:dyDescent="0.25">
      <c r="A121"/>
      <c r="B121"/>
      <c r="C121"/>
      <c r="D121"/>
      <c r="E121"/>
      <c r="F121"/>
      <c r="G121"/>
    </row>
    <row r="122" spans="1:7" x14ac:dyDescent="0.25">
      <c r="A122"/>
      <c r="B122"/>
      <c r="C122"/>
      <c r="D122"/>
      <c r="E122"/>
      <c r="F122"/>
      <c r="G122"/>
    </row>
    <row r="123" spans="1:7" x14ac:dyDescent="0.25">
      <c r="A123"/>
      <c r="B123"/>
      <c r="C123"/>
      <c r="D123"/>
      <c r="E123"/>
      <c r="F123"/>
      <c r="G123"/>
    </row>
    <row r="124" spans="1:7" x14ac:dyDescent="0.25">
      <c r="A124"/>
      <c r="B124"/>
      <c r="C124"/>
      <c r="D124"/>
      <c r="E124"/>
      <c r="F124"/>
      <c r="G124"/>
    </row>
  </sheetData>
  <mergeCells count="5">
    <mergeCell ref="A16:B16"/>
    <mergeCell ref="A35:F35"/>
    <mergeCell ref="A54:F54"/>
    <mergeCell ref="J35:O35"/>
    <mergeCell ref="S35:X35"/>
  </mergeCells>
  <conditionalFormatting sqref="AC22:AG34">
    <cfRule type="cellIs" dxfId="2" priority="4" operator="lessThan">
      <formula>0</formula>
    </cfRule>
  </conditionalFormatting>
  <conditionalFormatting sqref="AD74:AG86">
    <cfRule type="cellIs" dxfId="1" priority="3" operator="greaterThan">
      <formula>0</formula>
    </cfRule>
  </conditionalFormatting>
  <conditionalFormatting sqref="AD58:AG70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G6" sqref="G6"/>
    </sheetView>
  </sheetViews>
  <sheetFormatPr baseColWidth="10" defaultRowHeight="15" x14ac:dyDescent="0.25"/>
  <cols>
    <col min="1" max="1" width="19.5703125" customWidth="1"/>
  </cols>
  <sheetData>
    <row r="1" spans="1:16" ht="45" x14ac:dyDescent="0.25">
      <c r="A1" s="26" t="s">
        <v>19</v>
      </c>
      <c r="B1" s="21" t="s">
        <v>21</v>
      </c>
      <c r="C1" s="21" t="s">
        <v>22</v>
      </c>
      <c r="D1" s="21" t="s">
        <v>23</v>
      </c>
      <c r="E1" s="21" t="s">
        <v>24</v>
      </c>
      <c r="F1" s="21" t="s">
        <v>25</v>
      </c>
      <c r="G1" s="21" t="s">
        <v>26</v>
      </c>
      <c r="H1" s="38" t="s">
        <v>30</v>
      </c>
      <c r="I1" s="38" t="s">
        <v>33</v>
      </c>
      <c r="J1" s="38" t="s">
        <v>65</v>
      </c>
      <c r="K1" s="38" t="s">
        <v>31</v>
      </c>
      <c r="L1" s="38" t="s">
        <v>32</v>
      </c>
      <c r="M1" s="38" t="s">
        <v>29</v>
      </c>
      <c r="N1" s="38" t="s">
        <v>28</v>
      </c>
      <c r="O1" s="21" t="s">
        <v>27</v>
      </c>
      <c r="P1" s="38" t="s">
        <v>34</v>
      </c>
    </row>
    <row r="2" spans="1:16" x14ac:dyDescent="0.25">
      <c r="A2" s="20" t="s">
        <v>20</v>
      </c>
      <c r="B2" s="18">
        <v>1955</v>
      </c>
      <c r="C2" s="18">
        <v>1955</v>
      </c>
      <c r="D2" s="18">
        <v>2106</v>
      </c>
      <c r="E2" s="18">
        <v>1880</v>
      </c>
      <c r="F2" s="18">
        <v>1896</v>
      </c>
      <c r="G2" s="18">
        <v>2000</v>
      </c>
      <c r="H2" s="18">
        <v>2000</v>
      </c>
      <c r="I2" s="18">
        <v>2000</v>
      </c>
      <c r="J2" s="18">
        <v>2000</v>
      </c>
      <c r="K2" s="18">
        <v>1500</v>
      </c>
      <c r="L2" s="18">
        <v>1790</v>
      </c>
      <c r="M2" s="18">
        <v>800</v>
      </c>
      <c r="N2" s="18">
        <v>535</v>
      </c>
      <c r="O2" s="18">
        <v>1500</v>
      </c>
      <c r="P2" s="18">
        <v>530</v>
      </c>
    </row>
    <row r="3" spans="1:16" x14ac:dyDescent="0.25">
      <c r="B3" t="s">
        <v>135</v>
      </c>
      <c r="C3" s="117" t="s">
        <v>135</v>
      </c>
      <c r="D3" s="117" t="s">
        <v>135</v>
      </c>
      <c r="E3" s="117" t="s">
        <v>135</v>
      </c>
      <c r="F3" s="117" t="s">
        <v>135</v>
      </c>
      <c r="G3" s="117" t="s">
        <v>135</v>
      </c>
      <c r="H3" s="117" t="s">
        <v>135</v>
      </c>
      <c r="I3" s="117" t="s">
        <v>135</v>
      </c>
      <c r="J3" s="117" t="s">
        <v>135</v>
      </c>
      <c r="K3" s="117" t="s">
        <v>135</v>
      </c>
      <c r="L3" s="117" t="s">
        <v>135</v>
      </c>
      <c r="M3" s="117" t="s">
        <v>135</v>
      </c>
      <c r="N3" s="117" t="s">
        <v>135</v>
      </c>
      <c r="O3" s="117" t="s">
        <v>135</v>
      </c>
      <c r="P3" s="117" t="s">
        <v>135</v>
      </c>
    </row>
    <row r="5" spans="1:16" ht="45" x14ac:dyDescent="0.25">
      <c r="A5" s="26" t="s">
        <v>19</v>
      </c>
      <c r="B5" s="23" t="s">
        <v>21</v>
      </c>
      <c r="C5" s="23" t="s">
        <v>22</v>
      </c>
      <c r="D5" s="23" t="s">
        <v>23</v>
      </c>
      <c r="E5" s="23" t="s">
        <v>24</v>
      </c>
      <c r="F5" s="23" t="s">
        <v>25</v>
      </c>
      <c r="G5" s="23" t="s">
        <v>26</v>
      </c>
      <c r="H5" s="22" t="s">
        <v>30</v>
      </c>
      <c r="I5" s="22" t="s">
        <v>33</v>
      </c>
      <c r="J5" s="22" t="s">
        <v>65</v>
      </c>
      <c r="K5" s="22" t="s">
        <v>31</v>
      </c>
      <c r="L5" s="22" t="s">
        <v>32</v>
      </c>
      <c r="M5" s="22" t="s">
        <v>29</v>
      </c>
      <c r="N5" s="22" t="s">
        <v>28</v>
      </c>
      <c r="O5" s="23" t="s">
        <v>27</v>
      </c>
      <c r="P5" s="22" t="s">
        <v>34</v>
      </c>
    </row>
    <row r="6" spans="1:16" x14ac:dyDescent="0.25">
      <c r="A6" s="20" t="s">
        <v>35</v>
      </c>
      <c r="B6" s="211">
        <f>B9*Générale!$B$2</f>
        <v>570.4</v>
      </c>
      <c r="C6" s="211">
        <f>C9*Générale!$B$2</f>
        <v>570.4</v>
      </c>
      <c r="D6" s="211">
        <f>D9*Générale!$B$2</f>
        <v>800</v>
      </c>
      <c r="E6" s="211">
        <f>E9*Générale!$B$2</f>
        <v>1228</v>
      </c>
      <c r="F6" s="211">
        <f>F9*Générale!$B$2</f>
        <v>680.80000000000007</v>
      </c>
      <c r="G6" s="211">
        <f>G9*Générale!$B$2</f>
        <v>680</v>
      </c>
      <c r="H6" s="211">
        <f>H9*Générale!$B$2</f>
        <v>680</v>
      </c>
      <c r="I6" s="211">
        <f>I9*Générale!$B$2</f>
        <v>1560.8000000000002</v>
      </c>
      <c r="J6" s="211">
        <f>J9*Générale!$B$2</f>
        <v>680</v>
      </c>
      <c r="K6" s="211">
        <f>K9*Générale!$B$2</f>
        <v>0</v>
      </c>
      <c r="L6" s="211">
        <f>L9*Générale!$B$2</f>
        <v>680</v>
      </c>
      <c r="M6" s="211">
        <f>M9*Générale!$B$2</f>
        <v>1970.4</v>
      </c>
      <c r="N6" s="211">
        <f>N9*Générale!$B$2</f>
        <v>0</v>
      </c>
      <c r="O6" s="211">
        <f>O9*Générale!$B$2</f>
        <v>640</v>
      </c>
      <c r="P6" s="211">
        <f>P9*Générale!$B$2</f>
        <v>1304</v>
      </c>
    </row>
    <row r="7" spans="1:16" x14ac:dyDescent="0.25">
      <c r="B7" t="s">
        <v>136</v>
      </c>
      <c r="C7" s="117" t="s">
        <v>136</v>
      </c>
      <c r="D7" s="117" t="s">
        <v>136</v>
      </c>
      <c r="E7" s="117" t="s">
        <v>136</v>
      </c>
      <c r="F7" s="117" t="s">
        <v>136</v>
      </c>
      <c r="G7" s="117" t="s">
        <v>136</v>
      </c>
      <c r="H7" s="117" t="s">
        <v>136</v>
      </c>
      <c r="I7" s="117" t="s">
        <v>136</v>
      </c>
      <c r="J7" s="117" t="s">
        <v>136</v>
      </c>
      <c r="K7" s="117" t="s">
        <v>136</v>
      </c>
      <c r="L7" s="117" t="s">
        <v>136</v>
      </c>
      <c r="M7" s="117" t="s">
        <v>136</v>
      </c>
      <c r="N7" s="117" t="s">
        <v>136</v>
      </c>
      <c r="O7" s="117" t="s">
        <v>136</v>
      </c>
      <c r="P7" s="117" t="s">
        <v>136</v>
      </c>
    </row>
    <row r="9" spans="1:16" x14ac:dyDescent="0.25">
      <c r="B9" s="18">
        <v>713</v>
      </c>
      <c r="C9" s="18">
        <v>713</v>
      </c>
      <c r="D9" s="18">
        <v>1000</v>
      </c>
      <c r="E9" s="18">
        <v>1535</v>
      </c>
      <c r="F9" s="18">
        <v>851</v>
      </c>
      <c r="G9" s="18">
        <v>850</v>
      </c>
      <c r="H9" s="19">
        <v>850</v>
      </c>
      <c r="I9" s="19">
        <v>1951</v>
      </c>
      <c r="J9" s="18">
        <v>850</v>
      </c>
      <c r="K9" s="19">
        <v>0</v>
      </c>
      <c r="L9" s="18">
        <v>850</v>
      </c>
      <c r="M9" s="18">
        <v>2463</v>
      </c>
      <c r="N9" s="19">
        <v>0</v>
      </c>
      <c r="O9" s="18">
        <v>800</v>
      </c>
      <c r="P9" s="18">
        <v>1630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AL1" zoomScale="84" zoomScaleNormal="84" workbookViewId="0">
      <selection activeCell="BC5" sqref="BC5"/>
    </sheetView>
  </sheetViews>
  <sheetFormatPr baseColWidth="10" defaultRowHeight="15" x14ac:dyDescent="0.25"/>
  <cols>
    <col min="1" max="1" width="7" customWidth="1"/>
    <col min="19" max="19" width="10.7109375" customWidth="1"/>
    <col min="57" max="73" width="11.42578125" style="117"/>
  </cols>
  <sheetData>
    <row r="1" spans="1:73" ht="23.25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4</v>
      </c>
      <c r="D4" s="2">
        <v>2</v>
      </c>
      <c r="E4" s="2">
        <v>12</v>
      </c>
      <c r="F4" s="2">
        <v>0</v>
      </c>
      <c r="G4" s="2">
        <v>7</v>
      </c>
      <c r="H4" s="2">
        <v>12</v>
      </c>
      <c r="I4" s="2"/>
      <c r="J4" s="2"/>
      <c r="K4" s="2"/>
      <c r="L4" s="2"/>
      <c r="M4" s="2"/>
      <c r="N4" s="2"/>
      <c r="O4" s="2"/>
      <c r="P4" s="2"/>
      <c r="Q4" s="32"/>
      <c r="R4" s="34">
        <f>SUM(C4:Q4)</f>
        <v>37</v>
      </c>
      <c r="S4" s="82">
        <f>R4/R36</f>
        <v>8.3521444695259603</v>
      </c>
      <c r="U4" s="2" t="s">
        <v>36</v>
      </c>
      <c r="V4" s="2">
        <f>C4*Navires!$B$2</f>
        <v>7820</v>
      </c>
      <c r="W4" s="2">
        <f>D4*Navires!$C$2</f>
        <v>3910</v>
      </c>
      <c r="X4" s="2">
        <f>E4*Navires!$D$2</f>
        <v>25272</v>
      </c>
      <c r="Y4" s="2">
        <f>F4*Navires!$E$2</f>
        <v>0</v>
      </c>
      <c r="Z4" s="2">
        <f>G4*Navires!$F$2</f>
        <v>13272</v>
      </c>
      <c r="AA4" s="2">
        <f>H4*Navires!$G$2</f>
        <v>24000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74274</v>
      </c>
      <c r="AM4" s="2" t="s">
        <v>36</v>
      </c>
      <c r="AN4" s="2">
        <f>C4*Navires!$B$6</f>
        <v>2281.6</v>
      </c>
      <c r="AO4" s="2">
        <f>D4*Navires!$C$6</f>
        <v>1140.8</v>
      </c>
      <c r="AP4" s="2">
        <f>E4*Navires!$D$6</f>
        <v>9600</v>
      </c>
      <c r="AQ4" s="2">
        <f>F4*Navires!$E$6</f>
        <v>0</v>
      </c>
      <c r="AR4" s="2">
        <f>G4*Navires!$F$6</f>
        <v>4765.6000000000004</v>
      </c>
      <c r="AS4" s="2">
        <f>H4*Navires!$G$6</f>
        <v>8160</v>
      </c>
      <c r="AT4" s="2">
        <f>I4*Navires!$H$6</f>
        <v>0</v>
      </c>
      <c r="AU4" s="2">
        <f>J4*Navires!$I$6</f>
        <v>0</v>
      </c>
      <c r="AV4" s="2">
        <f>K4*Navires!$J$6</f>
        <v>0</v>
      </c>
      <c r="AW4" s="2">
        <f>L4*Navires!$K$6</f>
        <v>0</v>
      </c>
      <c r="AX4" s="2">
        <f>M4*Navires!$L$6</f>
        <v>0</v>
      </c>
      <c r="AY4" s="2">
        <f>N4*Navires!$M$6</f>
        <v>0</v>
      </c>
      <c r="AZ4" s="2">
        <f>O4*Navires!$N$6</f>
        <v>0</v>
      </c>
      <c r="BA4" s="2">
        <f>P4*Navires!$O$6</f>
        <v>0</v>
      </c>
      <c r="BB4" s="2">
        <f>Q4*Navires!$P$6</f>
        <v>0</v>
      </c>
      <c r="BC4" s="185">
        <f>SUM(AN4:BB4)*Générale!$B$27</f>
        <v>12974</v>
      </c>
      <c r="BE4" s="118" t="s">
        <v>36</v>
      </c>
      <c r="BF4" s="118">
        <f>C4*Navires!$B$6</f>
        <v>2281.6</v>
      </c>
      <c r="BG4" s="118">
        <f>D4*Navires!$B$6</f>
        <v>1140.8</v>
      </c>
      <c r="BH4" s="118">
        <f>E4*Navires!$B$6</f>
        <v>6844.7999999999993</v>
      </c>
      <c r="BI4" s="118">
        <f>F4*Navires!$B$6</f>
        <v>0</v>
      </c>
      <c r="BJ4" s="118">
        <f>G4*Navires!$B$6</f>
        <v>3992.7999999999997</v>
      </c>
      <c r="BK4" s="118">
        <f>H4*Navires!$B$6</f>
        <v>6844.7999999999993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14773.359999999995</v>
      </c>
    </row>
    <row r="5" spans="1:73" x14ac:dyDescent="0.25">
      <c r="A5" t="s">
        <v>49</v>
      </c>
      <c r="B5" s="2" t="s">
        <v>37</v>
      </c>
      <c r="C5" s="2">
        <v>1</v>
      </c>
      <c r="D5" s="2">
        <v>8</v>
      </c>
      <c r="E5">
        <v>1</v>
      </c>
      <c r="F5" s="2">
        <v>3</v>
      </c>
      <c r="G5" s="2">
        <v>3</v>
      </c>
      <c r="H5" s="2">
        <v>12</v>
      </c>
      <c r="I5" s="2"/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28</v>
      </c>
      <c r="S5" s="82">
        <f t="shared" ref="S5:S16" si="1">R5/R37</f>
        <v>7</v>
      </c>
      <c r="U5" s="2" t="s">
        <v>37</v>
      </c>
      <c r="V5" s="2">
        <f>C5*Navires!$B$2</f>
        <v>1955</v>
      </c>
      <c r="W5" s="2">
        <f>D5*Navires!$C$2</f>
        <v>15640</v>
      </c>
      <c r="X5" s="2">
        <f>E5*Navires!$D$2</f>
        <v>2106</v>
      </c>
      <c r="Y5" s="2">
        <f>F5*Navires!$E$2</f>
        <v>5640</v>
      </c>
      <c r="Z5" s="2">
        <f>G5*Navires!$F$2</f>
        <v>5688</v>
      </c>
      <c r="AA5" s="2">
        <f>H5*Navires!$G$2</f>
        <v>24000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55029</v>
      </c>
      <c r="AM5" s="2" t="s">
        <v>37</v>
      </c>
      <c r="AN5" s="2">
        <f>C5*Navires!$B$6</f>
        <v>570.4</v>
      </c>
      <c r="AO5" s="2">
        <f>D5*Navires!$C$6</f>
        <v>4563.2</v>
      </c>
      <c r="AP5" s="2">
        <f>E5*Navires!$D$6</f>
        <v>800</v>
      </c>
      <c r="AQ5" s="2">
        <f>F5*Navires!$E$6</f>
        <v>3684</v>
      </c>
      <c r="AR5" s="2">
        <f>G5*Navires!$F$6</f>
        <v>2042.4</v>
      </c>
      <c r="AS5" s="2">
        <f>H5*Navires!$G$6</f>
        <v>8160</v>
      </c>
      <c r="AT5" s="2">
        <f>I5*Navires!$H$6</f>
        <v>0</v>
      </c>
      <c r="AU5" s="2">
        <f>J5*Navires!$I$6</f>
        <v>0</v>
      </c>
      <c r="AV5" s="2">
        <f>K5*Navires!$J$6</f>
        <v>0</v>
      </c>
      <c r="AW5" s="2">
        <f>L5*Navires!$K$6</f>
        <v>0</v>
      </c>
      <c r="AX5" s="2">
        <f>M5*Navires!$L$6</f>
        <v>0</v>
      </c>
      <c r="AY5" s="2">
        <f>N5*Navires!$M$6</f>
        <v>0</v>
      </c>
      <c r="AZ5" s="2">
        <f>O5*Navires!$N$6</f>
        <v>0</v>
      </c>
      <c r="BA5" s="2">
        <f>P5*Navires!$O$6</f>
        <v>0</v>
      </c>
      <c r="BB5" s="2">
        <f>Q5*Navires!$P$6</f>
        <v>0</v>
      </c>
      <c r="BC5" s="185">
        <f>SUM(AN5:BB5)*Générale!$B$27</f>
        <v>9910</v>
      </c>
      <c r="BE5" s="118" t="s">
        <v>37</v>
      </c>
      <c r="BF5" s="118">
        <f>C5*Navires!$B$6</f>
        <v>570.4</v>
      </c>
      <c r="BG5" s="118">
        <f>D5*Navires!$B$6</f>
        <v>4563.2</v>
      </c>
      <c r="BH5" s="118">
        <f>E5*Navires!$B$6</f>
        <v>570.4</v>
      </c>
      <c r="BI5" s="118">
        <f>F5*Navires!$B$6</f>
        <v>1711.1999999999998</v>
      </c>
      <c r="BJ5" s="118">
        <f>G5*Navires!$B$6</f>
        <v>1711.1999999999998</v>
      </c>
      <c r="BK5" s="118">
        <f>H5*Navires!$B$6</f>
        <v>6844.7999999999993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11179.839999999997</v>
      </c>
    </row>
    <row r="6" spans="1:73" x14ac:dyDescent="0.25">
      <c r="A6" t="s">
        <v>50</v>
      </c>
      <c r="B6" s="2" t="s">
        <v>38</v>
      </c>
      <c r="C6" s="2">
        <v>12</v>
      </c>
      <c r="D6" s="2">
        <v>8</v>
      </c>
      <c r="E6" s="2">
        <v>5</v>
      </c>
      <c r="F6" s="2">
        <v>3</v>
      </c>
      <c r="G6" s="2">
        <v>1</v>
      </c>
      <c r="H6" s="2">
        <v>2</v>
      </c>
      <c r="I6" s="2"/>
      <c r="J6" s="2"/>
      <c r="K6" s="2"/>
      <c r="L6" s="2"/>
      <c r="M6" s="2"/>
      <c r="N6" s="2"/>
      <c r="O6" s="2"/>
      <c r="P6" s="2"/>
      <c r="Q6" s="32"/>
      <c r="R6" s="34">
        <f t="shared" si="0"/>
        <v>31</v>
      </c>
      <c r="S6" s="82">
        <f t="shared" si="1"/>
        <v>6.9977426636568856</v>
      </c>
      <c r="U6" s="2" t="s">
        <v>38</v>
      </c>
      <c r="V6" s="2">
        <f>C6*Navires!$B$2</f>
        <v>23460</v>
      </c>
      <c r="W6" s="2">
        <f>D6*Navires!$C$2</f>
        <v>15640</v>
      </c>
      <c r="X6" s="2">
        <f>E6*Navires!$D$2</f>
        <v>10530</v>
      </c>
      <c r="Y6" s="2">
        <f>F6*Navires!$E$2</f>
        <v>5640</v>
      </c>
      <c r="Z6" s="2">
        <f>G6*Navires!$F$2</f>
        <v>1896</v>
      </c>
      <c r="AA6" s="2">
        <f>H6*Navires!$G$2</f>
        <v>4000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61166</v>
      </c>
      <c r="AM6" s="2" t="s">
        <v>38</v>
      </c>
      <c r="AN6" s="2">
        <f>C6*Navires!$B$6</f>
        <v>6844.7999999999993</v>
      </c>
      <c r="AO6" s="2">
        <f>D6*Navires!$C$6</f>
        <v>4563.2</v>
      </c>
      <c r="AP6" s="2">
        <f>E6*Navires!$D$6</f>
        <v>4000</v>
      </c>
      <c r="AQ6" s="2">
        <f>F6*Navires!$E$6</f>
        <v>3684</v>
      </c>
      <c r="AR6" s="2">
        <f>G6*Navires!$F$6</f>
        <v>680.80000000000007</v>
      </c>
      <c r="AS6" s="2">
        <f>H6*Navires!$G$6</f>
        <v>1360</v>
      </c>
      <c r="AT6" s="2">
        <f>I6*Navires!$H$6</f>
        <v>0</v>
      </c>
      <c r="AU6" s="2">
        <f>J6*Navires!$I$6</f>
        <v>0</v>
      </c>
      <c r="AV6" s="2">
        <f>K6*Navires!$J$6</f>
        <v>0</v>
      </c>
      <c r="AW6" s="2">
        <f>L6*Navires!$K$6</f>
        <v>0</v>
      </c>
      <c r="AX6" s="2">
        <f>M6*Navires!$L$6</f>
        <v>0</v>
      </c>
      <c r="AY6" s="2">
        <f>N6*Navires!$M$6</f>
        <v>0</v>
      </c>
      <c r="AZ6" s="2">
        <f>O6*Navires!$N$6</f>
        <v>0</v>
      </c>
      <c r="BA6" s="2">
        <f>P6*Navires!$O$6</f>
        <v>0</v>
      </c>
      <c r="BB6" s="2">
        <f>Q6*Navires!$P$6</f>
        <v>0</v>
      </c>
      <c r="BC6" s="185">
        <f>SUM(AN6:BB6)*Générale!$B$27</f>
        <v>10566.4</v>
      </c>
      <c r="BE6" s="118" t="s">
        <v>38</v>
      </c>
      <c r="BF6" s="118">
        <f>C6*Navires!$B$6</f>
        <v>6844.7999999999993</v>
      </c>
      <c r="BG6" s="118">
        <f>D6*Navires!$B$6</f>
        <v>4563.2</v>
      </c>
      <c r="BH6" s="118">
        <f>E6*Navires!$B$6</f>
        <v>2852</v>
      </c>
      <c r="BI6" s="118">
        <f>F6*Navires!$B$6</f>
        <v>1711.1999999999998</v>
      </c>
      <c r="BJ6" s="118">
        <f>G6*Navires!$B$6</f>
        <v>570.4</v>
      </c>
      <c r="BK6" s="118">
        <f>H6*Navires!$B$6</f>
        <v>1140.8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12377.68</v>
      </c>
    </row>
    <row r="7" spans="1:73" x14ac:dyDescent="0.25">
      <c r="A7" t="s">
        <v>51</v>
      </c>
      <c r="B7" s="2" t="s">
        <v>39</v>
      </c>
      <c r="C7" s="2">
        <v>7</v>
      </c>
      <c r="D7" s="2">
        <v>0</v>
      </c>
      <c r="E7" s="2">
        <v>17</v>
      </c>
      <c r="F7" s="2">
        <v>6</v>
      </c>
      <c r="G7" s="2">
        <v>7</v>
      </c>
      <c r="H7" s="2">
        <v>3</v>
      </c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40</v>
      </c>
      <c r="S7" s="82">
        <f t="shared" si="1"/>
        <v>9.3457943925233646</v>
      </c>
      <c r="U7" s="2" t="s">
        <v>39</v>
      </c>
      <c r="V7" s="2">
        <f>C7*Navires!$B$2</f>
        <v>13685</v>
      </c>
      <c r="W7" s="2">
        <f>D7*Navires!$C$2</f>
        <v>0</v>
      </c>
      <c r="X7" s="2">
        <f>E7*Navires!$D$2</f>
        <v>35802</v>
      </c>
      <c r="Y7" s="2">
        <f>F7*Navires!$E$2</f>
        <v>11280</v>
      </c>
      <c r="Z7" s="2">
        <f>G7*Navires!$F$2</f>
        <v>13272</v>
      </c>
      <c r="AA7" s="2">
        <f>H7*Navires!$G$2</f>
        <v>6000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80039</v>
      </c>
      <c r="AM7" s="2" t="s">
        <v>39</v>
      </c>
      <c r="AN7" s="2">
        <f>C7*Navires!$B$6</f>
        <v>3992.7999999999997</v>
      </c>
      <c r="AO7" s="2">
        <f>D7*Navires!$C$6</f>
        <v>0</v>
      </c>
      <c r="AP7" s="2">
        <f>E7*Navires!$D$6</f>
        <v>13600</v>
      </c>
      <c r="AQ7" s="2">
        <f>F7*Navires!$E$6</f>
        <v>7368</v>
      </c>
      <c r="AR7" s="2">
        <f>G7*Navires!$F$6</f>
        <v>4765.6000000000004</v>
      </c>
      <c r="AS7" s="2">
        <f>H7*Navires!$G$6</f>
        <v>2040</v>
      </c>
      <c r="AT7" s="2">
        <f>I7*Navires!$H$6</f>
        <v>0</v>
      </c>
      <c r="AU7" s="2">
        <f>J7*Navires!$I$6</f>
        <v>0</v>
      </c>
      <c r="AV7" s="2">
        <f>K7*Navires!$J$6</f>
        <v>0</v>
      </c>
      <c r="AW7" s="2">
        <f>L7*Navires!$K$6</f>
        <v>0</v>
      </c>
      <c r="AX7" s="2">
        <f>M7*Navires!$L$6</f>
        <v>0</v>
      </c>
      <c r="AY7" s="2">
        <f>N7*Navires!$M$6</f>
        <v>0</v>
      </c>
      <c r="AZ7" s="2">
        <f>O7*Navires!$N$6</f>
        <v>0</v>
      </c>
      <c r="BA7" s="2">
        <f>P7*Navires!$O$6</f>
        <v>0</v>
      </c>
      <c r="BB7" s="2">
        <f>Q7*Navires!$P$6</f>
        <v>0</v>
      </c>
      <c r="BC7" s="185">
        <f>SUM(AN7:BB7)*Générale!$B$27</f>
        <v>15883.2</v>
      </c>
      <c r="BE7" s="118" t="s">
        <v>39</v>
      </c>
      <c r="BF7" s="118">
        <f>C7*Navires!$B$6</f>
        <v>3992.7999999999997</v>
      </c>
      <c r="BG7" s="118">
        <f>D7*Navires!$B$6</f>
        <v>0</v>
      </c>
      <c r="BH7" s="118">
        <f>E7*Navires!$B$6</f>
        <v>9696.7999999999993</v>
      </c>
      <c r="BI7" s="118">
        <f>F7*Navires!$B$6</f>
        <v>3422.3999999999996</v>
      </c>
      <c r="BJ7" s="118">
        <f>G7*Navires!$B$6</f>
        <v>3992.7999999999997</v>
      </c>
      <c r="BK7" s="118">
        <f>H7*Navires!$B$6</f>
        <v>1711.1999999999998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38787.199999999997</v>
      </c>
    </row>
    <row r="8" spans="1:73" x14ac:dyDescent="0.25">
      <c r="A8" t="s">
        <v>52</v>
      </c>
      <c r="B8" s="2" t="s">
        <v>40</v>
      </c>
      <c r="C8" s="2">
        <v>0</v>
      </c>
      <c r="D8" s="2">
        <v>0</v>
      </c>
      <c r="E8" s="2">
        <v>23</v>
      </c>
      <c r="F8" s="2">
        <v>16</v>
      </c>
      <c r="G8" s="2">
        <v>6</v>
      </c>
      <c r="H8" s="2">
        <v>8</v>
      </c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53</v>
      </c>
      <c r="S8" s="82">
        <f t="shared" si="1"/>
        <v>11.963882618510159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48438</v>
      </c>
      <c r="Y8" s="2">
        <f>F8*Navires!$E$2</f>
        <v>30080</v>
      </c>
      <c r="Z8" s="2">
        <f>G8*Navires!$F$2</f>
        <v>11376</v>
      </c>
      <c r="AA8" s="2">
        <f>H8*Navires!$G$2</f>
        <v>16000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105894</v>
      </c>
      <c r="AM8" s="2" t="s">
        <v>40</v>
      </c>
      <c r="AN8" s="2">
        <f>C8*Navires!$B$6</f>
        <v>0</v>
      </c>
      <c r="AO8" s="2">
        <f>D8*Navires!$C$6</f>
        <v>0</v>
      </c>
      <c r="AP8" s="2">
        <f>E8*Navires!$D$6</f>
        <v>18400</v>
      </c>
      <c r="AQ8" s="2">
        <f>F8*Navires!$E$6</f>
        <v>19648</v>
      </c>
      <c r="AR8" s="2">
        <f>G8*Navires!$F$6</f>
        <v>4084.8</v>
      </c>
      <c r="AS8" s="2">
        <f>H8*Navires!$G$6</f>
        <v>5440</v>
      </c>
      <c r="AT8" s="2">
        <f>I8*Navires!$H$6</f>
        <v>0</v>
      </c>
      <c r="AU8" s="2">
        <f>J8*Navires!$I$6</f>
        <v>0</v>
      </c>
      <c r="AV8" s="2">
        <f>K8*Navires!$J$6</f>
        <v>0</v>
      </c>
      <c r="AW8" s="2">
        <f>L8*Navires!$K$6</f>
        <v>0</v>
      </c>
      <c r="AX8" s="2">
        <f>M8*Navires!$L$6</f>
        <v>0</v>
      </c>
      <c r="AY8" s="2">
        <f>N8*Navires!$M$6</f>
        <v>0</v>
      </c>
      <c r="AZ8" s="2">
        <f>O8*Navires!$N$6</f>
        <v>0</v>
      </c>
      <c r="BA8" s="2">
        <f>P8*Navires!$O$6</f>
        <v>0</v>
      </c>
      <c r="BB8" s="2">
        <f>Q8*Navires!$P$6</f>
        <v>0</v>
      </c>
      <c r="BC8" s="185">
        <f>SUM(AN8:BB8)*Générale!$B$26</f>
        <v>14271.84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13119.199999999999</v>
      </c>
      <c r="BI8" s="118">
        <f>F8*Navires!$B$6</f>
        <v>9126.4</v>
      </c>
      <c r="BJ8" s="118">
        <f>G8*Navires!$B$6</f>
        <v>3422.3999999999996</v>
      </c>
      <c r="BK8" s="118">
        <f>H8*Navires!$B$6</f>
        <v>4563.2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51393.04</v>
      </c>
    </row>
    <row r="9" spans="1:73" x14ac:dyDescent="0.25">
      <c r="A9" t="s">
        <v>53</v>
      </c>
      <c r="B9" s="2" t="s">
        <v>41</v>
      </c>
      <c r="C9" s="2">
        <v>0</v>
      </c>
      <c r="D9" s="2">
        <v>18</v>
      </c>
      <c r="E9" s="2">
        <v>3</v>
      </c>
      <c r="F9" s="2">
        <v>13</v>
      </c>
      <c r="G9" s="2">
        <v>9</v>
      </c>
      <c r="H9" s="2">
        <v>11</v>
      </c>
      <c r="I9" s="2"/>
      <c r="J9" s="2"/>
      <c r="K9" s="2"/>
      <c r="L9" s="2"/>
      <c r="M9" s="2"/>
      <c r="N9" s="2"/>
      <c r="O9" s="2"/>
      <c r="P9" s="2">
        <v>3</v>
      </c>
      <c r="Q9" s="32"/>
      <c r="R9" s="34">
        <f t="shared" si="0"/>
        <v>57</v>
      </c>
      <c r="S9" s="82">
        <f t="shared" si="1"/>
        <v>13.317757009345794</v>
      </c>
      <c r="U9" s="2" t="s">
        <v>41</v>
      </c>
      <c r="V9" s="2">
        <f>C9*Navires!$B$2</f>
        <v>0</v>
      </c>
      <c r="W9" s="2">
        <f>D9*Navires!$C$2</f>
        <v>35190</v>
      </c>
      <c r="X9" s="2">
        <f>E9*Navires!$D$2</f>
        <v>6318</v>
      </c>
      <c r="Y9" s="2">
        <f>F9*Navires!$E$2</f>
        <v>24440</v>
      </c>
      <c r="Z9" s="2">
        <f>G9*Navires!$F$2</f>
        <v>17064</v>
      </c>
      <c r="AA9" s="2">
        <f>H9*Navires!$G$2</f>
        <v>22000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4500</v>
      </c>
      <c r="AJ9" s="2">
        <f>Q9*Navires!$P$2</f>
        <v>0</v>
      </c>
      <c r="AK9" s="35">
        <f>(SUM(V9:AJ9))*Générale!$B12</f>
        <v>109512</v>
      </c>
      <c r="AM9" s="2" t="s">
        <v>41</v>
      </c>
      <c r="AN9" s="2">
        <f>C9*Navires!$B$6</f>
        <v>0</v>
      </c>
      <c r="AO9" s="2">
        <f>D9*Navires!$C$6</f>
        <v>10267.199999999999</v>
      </c>
      <c r="AP9" s="2">
        <f>E9*Navires!$D$6</f>
        <v>2400</v>
      </c>
      <c r="AQ9" s="2">
        <f>F9*Navires!$E$6</f>
        <v>15964</v>
      </c>
      <c r="AR9" s="2">
        <f>G9*Navires!$F$6</f>
        <v>6127.2000000000007</v>
      </c>
      <c r="AS9" s="2">
        <f>H9*Navires!$G$6</f>
        <v>7480</v>
      </c>
      <c r="AT9" s="2">
        <f>I9*Navires!$H$6</f>
        <v>0</v>
      </c>
      <c r="AU9" s="2">
        <f>J9*Navires!$I$6</f>
        <v>0</v>
      </c>
      <c r="AV9" s="2">
        <f>K9*Navires!$J$6</f>
        <v>0</v>
      </c>
      <c r="AW9" s="2">
        <f>L9*Navires!$K$6</f>
        <v>0</v>
      </c>
      <c r="AX9" s="2">
        <f>M9*Navires!$L$6</f>
        <v>0</v>
      </c>
      <c r="AY9" s="2">
        <f>N9*Navires!$M$6</f>
        <v>0</v>
      </c>
      <c r="AZ9" s="2">
        <f>O9*Navires!$N$6</f>
        <v>0</v>
      </c>
      <c r="BA9" s="2">
        <f>P9*Navires!$O$6</f>
        <v>1920</v>
      </c>
      <c r="BB9" s="2">
        <f>Q9*Navires!$P$6</f>
        <v>0</v>
      </c>
      <c r="BC9" s="185">
        <f>SUM(AN9:BB9)*Générale!$B$26</f>
        <v>13247.519999999999</v>
      </c>
      <c r="BE9" s="118" t="s">
        <v>41</v>
      </c>
      <c r="BF9" s="118">
        <f>C9*Navires!$B$6</f>
        <v>0</v>
      </c>
      <c r="BG9" s="118">
        <f>D9*Navires!$B$6</f>
        <v>10267.199999999999</v>
      </c>
      <c r="BH9" s="118">
        <f>E9*Navires!$B$6</f>
        <v>1711.1999999999998</v>
      </c>
      <c r="BI9" s="118">
        <f>F9*Navires!$B$6</f>
        <v>7415.2</v>
      </c>
      <c r="BJ9" s="118">
        <f>G9*Navires!$B$6</f>
        <v>5133.5999999999995</v>
      </c>
      <c r="BK9" s="118">
        <f>H9*Navires!$B$6</f>
        <v>6274.4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1711.1999999999998</v>
      </c>
      <c r="BT9" s="118">
        <f>Q9*Navires!$B$6</f>
        <v>0</v>
      </c>
      <c r="BU9" s="185">
        <f>SUM(BF9:BT9)*Générale!$B$22</f>
        <v>55271.759999999995</v>
      </c>
    </row>
    <row r="10" spans="1:73" x14ac:dyDescent="0.25">
      <c r="A10" t="s">
        <v>54</v>
      </c>
      <c r="B10" s="2" t="s">
        <v>42</v>
      </c>
      <c r="C10" s="2">
        <v>13</v>
      </c>
      <c r="D10" s="2">
        <v>16</v>
      </c>
      <c r="E10" s="2">
        <v>0</v>
      </c>
      <c r="F10" s="2">
        <v>8</v>
      </c>
      <c r="G10" s="2">
        <v>9</v>
      </c>
      <c r="H10" s="2">
        <v>14</v>
      </c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60</v>
      </c>
      <c r="S10" s="82">
        <f t="shared" si="1"/>
        <v>13.544018058690746</v>
      </c>
      <c r="U10" s="2" t="s">
        <v>42</v>
      </c>
      <c r="V10" s="2">
        <f>C10*Navires!$B$2</f>
        <v>25415</v>
      </c>
      <c r="W10" s="2">
        <f>D10*Navires!$C$2</f>
        <v>31280</v>
      </c>
      <c r="X10" s="2">
        <f>E10*Navires!$D$2</f>
        <v>0</v>
      </c>
      <c r="Y10" s="2">
        <f>F10*Navires!$E$2</f>
        <v>15040</v>
      </c>
      <c r="Z10" s="2">
        <f>G10*Navires!$F$2</f>
        <v>17064</v>
      </c>
      <c r="AA10" s="2">
        <f>H10*Navires!$G$2</f>
        <v>28000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116799</v>
      </c>
      <c r="AM10" s="2" t="s">
        <v>42</v>
      </c>
      <c r="AN10" s="2">
        <f>C10*Navires!$B$6</f>
        <v>7415.2</v>
      </c>
      <c r="AO10" s="2">
        <f>D10*Navires!$C$6</f>
        <v>9126.4</v>
      </c>
      <c r="AP10" s="2">
        <f>E10*Navires!$D$6</f>
        <v>0</v>
      </c>
      <c r="AQ10" s="2">
        <f>F10*Navires!$E$6</f>
        <v>9824</v>
      </c>
      <c r="AR10" s="2">
        <f>G10*Navires!$F$6</f>
        <v>6127.2000000000007</v>
      </c>
      <c r="AS10" s="2">
        <f>H10*Navires!$G$6</f>
        <v>9520</v>
      </c>
      <c r="AT10" s="2">
        <f>I10*Navires!$H$6</f>
        <v>0</v>
      </c>
      <c r="AU10" s="2">
        <f>J10*Navires!$I$6</f>
        <v>0</v>
      </c>
      <c r="AV10" s="2">
        <f>K10*Navires!$J$6</f>
        <v>0</v>
      </c>
      <c r="AW10" s="2">
        <f>L10*Navires!$K$6</f>
        <v>0</v>
      </c>
      <c r="AX10" s="2">
        <f>M10*Navires!$L$6</f>
        <v>0</v>
      </c>
      <c r="AY10" s="2">
        <f>N10*Navires!$M$6</f>
        <v>0</v>
      </c>
      <c r="AZ10" s="2">
        <f>O10*Navires!$N$6</f>
        <v>0</v>
      </c>
      <c r="BA10" s="2">
        <f>P10*Navires!$O$6</f>
        <v>0</v>
      </c>
      <c r="BB10" s="2">
        <f>Q10*Navires!$P$6</f>
        <v>0</v>
      </c>
      <c r="BC10" s="185">
        <f>SUM(AN10:BB10)*Générale!$B$26</f>
        <v>12603.84</v>
      </c>
      <c r="BE10" s="118" t="s">
        <v>42</v>
      </c>
      <c r="BF10" s="118">
        <f>C10*Navires!$B$6</f>
        <v>7415.2</v>
      </c>
      <c r="BG10" s="118">
        <f>D10*Navires!$B$6</f>
        <v>9126.4</v>
      </c>
      <c r="BH10" s="118">
        <f>E10*Navires!$B$6</f>
        <v>0</v>
      </c>
      <c r="BI10" s="118">
        <f>F10*Navires!$B$6</f>
        <v>4563.2</v>
      </c>
      <c r="BJ10" s="118">
        <f>G10*Navires!$B$6</f>
        <v>5133.5999999999995</v>
      </c>
      <c r="BK10" s="118">
        <f>H10*Navires!$B$6</f>
        <v>7985.5999999999995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58180.799999999996</v>
      </c>
    </row>
    <row r="11" spans="1:73" x14ac:dyDescent="0.25">
      <c r="A11" t="s">
        <v>55</v>
      </c>
      <c r="B11" s="2" t="s">
        <v>43</v>
      </c>
      <c r="C11" s="2">
        <v>15</v>
      </c>
      <c r="D11" s="2">
        <v>14</v>
      </c>
      <c r="E11" s="2">
        <v>0</v>
      </c>
      <c r="F11" s="2">
        <v>8</v>
      </c>
      <c r="G11" s="2">
        <v>10</v>
      </c>
      <c r="H11" s="2">
        <v>12</v>
      </c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59</v>
      </c>
      <c r="S11" s="82">
        <f t="shared" si="1"/>
        <v>13.318284424379234</v>
      </c>
      <c r="U11" s="2" t="s">
        <v>43</v>
      </c>
      <c r="V11" s="2">
        <f>C11*Navires!$B$2</f>
        <v>29325</v>
      </c>
      <c r="W11" s="2">
        <f>D11*Navires!$C$2</f>
        <v>27370</v>
      </c>
      <c r="X11" s="2">
        <f>E11*Navires!$D$2</f>
        <v>0</v>
      </c>
      <c r="Y11" s="2">
        <f>F11*Navires!$E$2</f>
        <v>15040</v>
      </c>
      <c r="Z11" s="2">
        <f>G11*Navires!$F$2</f>
        <v>18960</v>
      </c>
      <c r="AA11" s="2">
        <f>H11*Navires!$G$2</f>
        <v>24000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114695</v>
      </c>
      <c r="AM11" s="2" t="s">
        <v>43</v>
      </c>
      <c r="AN11" s="2">
        <f>C11*Navires!$B$6</f>
        <v>8556</v>
      </c>
      <c r="AO11" s="2">
        <f>D11*Navires!$C$6</f>
        <v>7985.5999999999995</v>
      </c>
      <c r="AP11" s="2">
        <f>E11*Navires!$D$6</f>
        <v>0</v>
      </c>
      <c r="AQ11" s="2">
        <f>F11*Navires!$E$6</f>
        <v>9824</v>
      </c>
      <c r="AR11" s="2">
        <f>G11*Navires!$F$6</f>
        <v>6808.0000000000009</v>
      </c>
      <c r="AS11" s="2">
        <f>H11*Navires!$G$6</f>
        <v>8160</v>
      </c>
      <c r="AT11" s="2">
        <f>I11*Navires!$H$6</f>
        <v>0</v>
      </c>
      <c r="AU11" s="2">
        <f>J11*Navires!$I$6</f>
        <v>0</v>
      </c>
      <c r="AV11" s="2">
        <f>K11*Navires!$J$6</f>
        <v>0</v>
      </c>
      <c r="AW11" s="2">
        <f>L11*Navires!$K$6</f>
        <v>0</v>
      </c>
      <c r="AX11" s="2">
        <f>M11*Navires!$L$6</f>
        <v>0</v>
      </c>
      <c r="AY11" s="2">
        <f>N11*Navires!$M$6</f>
        <v>0</v>
      </c>
      <c r="AZ11" s="2">
        <f>O11*Navires!$N$6</f>
        <v>0</v>
      </c>
      <c r="BA11" s="2">
        <f>P11*Navires!$O$6</f>
        <v>0</v>
      </c>
      <c r="BB11" s="2">
        <f>Q11*Navires!$P$6</f>
        <v>0</v>
      </c>
      <c r="BC11" s="185">
        <f>SUM(AN11:BB11)*Générale!$B$26</f>
        <v>12400.08</v>
      </c>
      <c r="BE11" s="118" t="s">
        <v>43</v>
      </c>
      <c r="BF11" s="118">
        <f>C11*Navires!$B$6</f>
        <v>8556</v>
      </c>
      <c r="BG11" s="118">
        <f>D11*Navires!$B$6</f>
        <v>7985.5999999999995</v>
      </c>
      <c r="BH11" s="118">
        <f>E11*Navires!$B$6</f>
        <v>0</v>
      </c>
      <c r="BI11" s="118">
        <f>F11*Navires!$B$6</f>
        <v>4563.2</v>
      </c>
      <c r="BJ11" s="118">
        <f>G11*Navires!$B$6</f>
        <v>5704</v>
      </c>
      <c r="BK11" s="118">
        <f>H11*Navires!$B$6</f>
        <v>6844.7999999999993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57211.119999999995</v>
      </c>
    </row>
    <row r="12" spans="1:73" x14ac:dyDescent="0.25">
      <c r="A12" t="s">
        <v>56</v>
      </c>
      <c r="B12" s="2" t="s">
        <v>44</v>
      </c>
      <c r="C12" s="2">
        <v>3</v>
      </c>
      <c r="D12" s="2">
        <v>19</v>
      </c>
      <c r="E12" s="2">
        <v>0</v>
      </c>
      <c r="F12" s="2">
        <v>12</v>
      </c>
      <c r="G12" s="2">
        <v>6</v>
      </c>
      <c r="H12" s="2">
        <v>13</v>
      </c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53</v>
      </c>
      <c r="S12" s="82">
        <f t="shared" si="1"/>
        <v>12.383177570093457</v>
      </c>
      <c r="U12" s="2" t="s">
        <v>44</v>
      </c>
      <c r="V12" s="2">
        <f>C12*Navires!$B$2</f>
        <v>5865</v>
      </c>
      <c r="W12" s="2">
        <f>D12*Navires!$C$2</f>
        <v>37145</v>
      </c>
      <c r="X12" s="2">
        <f>E12*Navires!$D$2</f>
        <v>0</v>
      </c>
      <c r="Y12" s="2">
        <f>F12*Navires!$E$2</f>
        <v>22560</v>
      </c>
      <c r="Z12" s="2">
        <f>G12*Navires!$F$2</f>
        <v>11376</v>
      </c>
      <c r="AA12" s="2">
        <f>H12*Navires!$G$2</f>
        <v>26000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102946</v>
      </c>
      <c r="AM12" s="2" t="s">
        <v>44</v>
      </c>
      <c r="AN12" s="2">
        <f>C12*Navires!$B$6</f>
        <v>1711.1999999999998</v>
      </c>
      <c r="AO12" s="2">
        <f>D12*Navires!$C$6</f>
        <v>10837.6</v>
      </c>
      <c r="AP12" s="2">
        <f>E12*Navires!$D$6</f>
        <v>0</v>
      </c>
      <c r="AQ12" s="2">
        <f>F12*Navires!$E$6</f>
        <v>14736</v>
      </c>
      <c r="AR12" s="2">
        <f>G12*Navires!$F$6</f>
        <v>4084.8</v>
      </c>
      <c r="AS12" s="2">
        <f>H12*Navires!$G$6</f>
        <v>8840</v>
      </c>
      <c r="AT12" s="2">
        <f>I12*Navires!$H$6</f>
        <v>0</v>
      </c>
      <c r="AU12" s="2">
        <f>J12*Navires!$I$6</f>
        <v>0</v>
      </c>
      <c r="AV12" s="2">
        <f>K12*Navires!$J$6</f>
        <v>0</v>
      </c>
      <c r="AW12" s="2">
        <f>L12*Navires!$K$6</f>
        <v>0</v>
      </c>
      <c r="AX12" s="2">
        <f>M12*Navires!$L$6</f>
        <v>0</v>
      </c>
      <c r="AY12" s="2">
        <f>N12*Navires!$M$6</f>
        <v>0</v>
      </c>
      <c r="AZ12" s="2">
        <f>O12*Navires!$N$6</f>
        <v>0</v>
      </c>
      <c r="BA12" s="2">
        <f>P12*Navires!$O$6</f>
        <v>0</v>
      </c>
      <c r="BB12" s="2">
        <f>Q12*Navires!$P$6</f>
        <v>0</v>
      </c>
      <c r="BC12" s="185">
        <f>SUM(AN12:BB12)*Générale!$B$26</f>
        <v>12062.88</v>
      </c>
      <c r="BE12" s="118" t="s">
        <v>44</v>
      </c>
      <c r="BF12" s="118">
        <f>C12*Navires!$B$6</f>
        <v>1711.1999999999998</v>
      </c>
      <c r="BG12" s="118">
        <f>D12*Navires!$B$6</f>
        <v>10837.6</v>
      </c>
      <c r="BH12" s="118">
        <f>E12*Navires!$B$6</f>
        <v>0</v>
      </c>
      <c r="BI12" s="118">
        <f>F12*Navires!$B$6</f>
        <v>6844.7999999999993</v>
      </c>
      <c r="BJ12" s="118">
        <f>G12*Navires!$B$6</f>
        <v>3422.3999999999996</v>
      </c>
      <c r="BK12" s="118">
        <f>H12*Navires!$B$6</f>
        <v>7415.2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51393.04</v>
      </c>
    </row>
    <row r="13" spans="1:73" x14ac:dyDescent="0.25">
      <c r="A13" t="s">
        <v>57</v>
      </c>
      <c r="B13" s="2" t="s">
        <v>45</v>
      </c>
      <c r="C13" s="2">
        <v>6</v>
      </c>
      <c r="D13" s="2">
        <v>15</v>
      </c>
      <c r="E13" s="2">
        <v>0</v>
      </c>
      <c r="F13" s="2">
        <v>2</v>
      </c>
      <c r="G13" s="2">
        <v>6</v>
      </c>
      <c r="H13" s="2">
        <v>11</v>
      </c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40</v>
      </c>
      <c r="S13" s="82">
        <f t="shared" si="1"/>
        <v>9.0293453724604973</v>
      </c>
      <c r="U13" s="2" t="s">
        <v>45</v>
      </c>
      <c r="V13" s="2">
        <f>C13*Navires!$B$2</f>
        <v>11730</v>
      </c>
      <c r="W13" s="2">
        <f>D13*Navires!$C$2</f>
        <v>29325</v>
      </c>
      <c r="X13" s="2">
        <f>E13*Navires!$D$2</f>
        <v>0</v>
      </c>
      <c r="Y13" s="2">
        <f>F13*Navires!$E$2</f>
        <v>3760</v>
      </c>
      <c r="Z13" s="2">
        <f>G13*Navires!$F$2</f>
        <v>11376</v>
      </c>
      <c r="AA13" s="2">
        <f>H13*Navires!$G$2</f>
        <v>22000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78191</v>
      </c>
      <c r="AM13" s="2" t="s">
        <v>45</v>
      </c>
      <c r="AN13" s="2">
        <f>C13*Navires!$B$6</f>
        <v>3422.3999999999996</v>
      </c>
      <c r="AO13" s="2">
        <f>D13*Navires!$C$6</f>
        <v>8556</v>
      </c>
      <c r="AP13" s="2">
        <f>E13*Navires!$D$6</f>
        <v>0</v>
      </c>
      <c r="AQ13" s="2">
        <f>F13*Navires!$E$6</f>
        <v>2456</v>
      </c>
      <c r="AR13" s="2">
        <f>G13*Navires!$F$6</f>
        <v>4084.8</v>
      </c>
      <c r="AS13" s="2">
        <f>H13*Navires!$G$6</f>
        <v>7480</v>
      </c>
      <c r="AT13" s="2">
        <f>I13*Navires!$H$6</f>
        <v>0</v>
      </c>
      <c r="AU13" s="2">
        <f>J13*Navires!$I$6</f>
        <v>0</v>
      </c>
      <c r="AV13" s="2">
        <f>K13*Navires!$J$6</f>
        <v>0</v>
      </c>
      <c r="AW13" s="2">
        <f>L13*Navires!$K$6</f>
        <v>0</v>
      </c>
      <c r="AX13" s="2">
        <f>M13*Navires!$L$6</f>
        <v>0</v>
      </c>
      <c r="AY13" s="2">
        <f>N13*Navires!$M$6</f>
        <v>0</v>
      </c>
      <c r="AZ13" s="2">
        <f>O13*Navires!$N$6</f>
        <v>0</v>
      </c>
      <c r="BA13" s="2">
        <f>P13*Navires!$O$6</f>
        <v>0</v>
      </c>
      <c r="BB13" s="2">
        <f>Q13*Navires!$P$6</f>
        <v>0</v>
      </c>
      <c r="BC13" s="185">
        <f>SUM(AN13:BB13)*Générale!$B$27</f>
        <v>12999.6</v>
      </c>
      <c r="BE13" s="118" t="s">
        <v>45</v>
      </c>
      <c r="BF13" s="118">
        <f>C13*Navires!$B$6</f>
        <v>3422.3999999999996</v>
      </c>
      <c r="BG13" s="118">
        <f>D13*Navires!$B$6</f>
        <v>8556</v>
      </c>
      <c r="BH13" s="118">
        <f>E13*Navires!$B$6</f>
        <v>0</v>
      </c>
      <c r="BI13" s="118">
        <f>F13*Navires!$B$6</f>
        <v>1140.8</v>
      </c>
      <c r="BJ13" s="118">
        <f>G13*Navires!$B$6</f>
        <v>3422.3999999999996</v>
      </c>
      <c r="BK13" s="118">
        <f>H13*Navires!$B$6</f>
        <v>6274.4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38787.199999999997</v>
      </c>
    </row>
    <row r="14" spans="1:73" x14ac:dyDescent="0.25">
      <c r="A14" t="s">
        <v>58</v>
      </c>
      <c r="B14" s="2" t="s">
        <v>46</v>
      </c>
      <c r="C14" s="2">
        <v>16</v>
      </c>
      <c r="D14" s="2">
        <v>1</v>
      </c>
      <c r="E14" s="2">
        <v>0</v>
      </c>
      <c r="F14" s="2">
        <v>0</v>
      </c>
      <c r="G14" s="2">
        <v>3</v>
      </c>
      <c r="H14" s="2">
        <v>12</v>
      </c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32</v>
      </c>
      <c r="S14" s="82">
        <f t="shared" si="1"/>
        <v>7.4766355140186915</v>
      </c>
      <c r="U14" s="2" t="s">
        <v>46</v>
      </c>
      <c r="V14" s="2">
        <f>C14*Navires!$B$2</f>
        <v>31280</v>
      </c>
      <c r="W14" s="2">
        <f>D14*Navires!$C$2</f>
        <v>1955</v>
      </c>
      <c r="X14" s="2">
        <f>E14*Navires!$D$2</f>
        <v>0</v>
      </c>
      <c r="Y14" s="2">
        <f>F14*Navires!$E$2</f>
        <v>0</v>
      </c>
      <c r="Z14" s="2">
        <f>G14*Navires!$F$2</f>
        <v>5688</v>
      </c>
      <c r="AA14" s="2">
        <f>H14*Navires!$G$2</f>
        <v>24000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62923</v>
      </c>
      <c r="AM14" s="2" t="s">
        <v>46</v>
      </c>
      <c r="AN14" s="2">
        <f>C14*Navires!$B$6</f>
        <v>9126.4</v>
      </c>
      <c r="AO14" s="2">
        <f>D14*Navires!$C$6</f>
        <v>570.4</v>
      </c>
      <c r="AP14" s="2">
        <f>E14*Navires!$D$6</f>
        <v>0</v>
      </c>
      <c r="AQ14" s="2">
        <f>F14*Navires!$E$6</f>
        <v>0</v>
      </c>
      <c r="AR14" s="2">
        <f>G14*Navires!$F$6</f>
        <v>2042.4</v>
      </c>
      <c r="AS14" s="2">
        <f>H14*Navires!$G$6</f>
        <v>8160</v>
      </c>
      <c r="AT14" s="2">
        <f>I14*Navires!$H$6</f>
        <v>0</v>
      </c>
      <c r="AU14" s="2">
        <f>J14*Navires!$I$6</f>
        <v>0</v>
      </c>
      <c r="AV14" s="2">
        <f>K14*Navires!$J$6</f>
        <v>0</v>
      </c>
      <c r="AW14" s="2">
        <f>L14*Navires!$K$6</f>
        <v>0</v>
      </c>
      <c r="AX14" s="2">
        <f>M14*Navires!$L$6</f>
        <v>0</v>
      </c>
      <c r="AY14" s="2">
        <f>N14*Navires!$M$6</f>
        <v>0</v>
      </c>
      <c r="AZ14" s="2">
        <f>O14*Navires!$N$6</f>
        <v>0</v>
      </c>
      <c r="BA14" s="2">
        <f>P14*Navires!$O$6</f>
        <v>0</v>
      </c>
      <c r="BB14" s="2">
        <f>Q14*Navires!$P$6</f>
        <v>0</v>
      </c>
      <c r="BC14" s="185">
        <f>SUM(AN14:BB14)*Générale!$B$27</f>
        <v>9949.5999999999985</v>
      </c>
      <c r="BE14" s="118" t="s">
        <v>46</v>
      </c>
      <c r="BF14" s="118">
        <f>C14*Navires!$B$6</f>
        <v>9126.4</v>
      </c>
      <c r="BG14" s="118">
        <f>D14*Navires!$B$6</f>
        <v>570.4</v>
      </c>
      <c r="BH14" s="118">
        <f>E14*Navires!$B$6</f>
        <v>0</v>
      </c>
      <c r="BI14" s="118">
        <f>F14*Navires!$B$6</f>
        <v>0</v>
      </c>
      <c r="BJ14" s="118">
        <f>G14*Navires!$B$6</f>
        <v>1711.1999999999998</v>
      </c>
      <c r="BK14" s="118">
        <f>H14*Navires!$B$6</f>
        <v>6844.7999999999993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12776.96</v>
      </c>
    </row>
    <row r="15" spans="1:73" x14ac:dyDescent="0.25">
      <c r="A15" t="s">
        <v>59</v>
      </c>
      <c r="B15" s="2" t="s">
        <v>47</v>
      </c>
      <c r="C15" s="2">
        <v>8</v>
      </c>
      <c r="D15" s="2">
        <v>0</v>
      </c>
      <c r="E15" s="2">
        <v>7</v>
      </c>
      <c r="F15" s="2">
        <v>0</v>
      </c>
      <c r="G15" s="2">
        <v>8</v>
      </c>
      <c r="H15" s="2">
        <v>9</v>
      </c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32</v>
      </c>
      <c r="S15" s="82">
        <f t="shared" si="1"/>
        <v>7.2234762979683982</v>
      </c>
      <c r="U15" s="2" t="s">
        <v>47</v>
      </c>
      <c r="V15" s="2">
        <f>C15*Navires!$B$2</f>
        <v>15640</v>
      </c>
      <c r="W15" s="2">
        <f>D15*Navires!$C$2</f>
        <v>0</v>
      </c>
      <c r="X15" s="2">
        <f>E15*Navires!$D$2</f>
        <v>14742</v>
      </c>
      <c r="Y15" s="2">
        <f>F15*Navires!$E$2</f>
        <v>0</v>
      </c>
      <c r="Z15" s="2">
        <f>G15*Navires!$F$2</f>
        <v>15168</v>
      </c>
      <c r="AA15" s="2">
        <f>H15*Navires!$G$2</f>
        <v>18000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63550</v>
      </c>
      <c r="AM15" s="2" t="s">
        <v>47</v>
      </c>
      <c r="AN15" s="2">
        <f>C15*Navires!$B$6</f>
        <v>4563.2</v>
      </c>
      <c r="AO15" s="2">
        <f>D15*Navires!$C$6</f>
        <v>0</v>
      </c>
      <c r="AP15" s="2">
        <f>E15*Navires!$D$6</f>
        <v>5600</v>
      </c>
      <c r="AQ15" s="2">
        <f>F15*Navires!$E$6</f>
        <v>0</v>
      </c>
      <c r="AR15" s="2">
        <f>G15*Navires!$F$6</f>
        <v>5446.4000000000005</v>
      </c>
      <c r="AS15" s="2">
        <f>H15*Navires!$G$6</f>
        <v>6120</v>
      </c>
      <c r="AT15" s="2">
        <f>I15*Navires!$H$6</f>
        <v>0</v>
      </c>
      <c r="AU15" s="2">
        <f>J15*Navires!$I$6</f>
        <v>0</v>
      </c>
      <c r="AV15" s="2">
        <f>K15*Navires!$J$6</f>
        <v>0</v>
      </c>
      <c r="AW15" s="2">
        <f>L15*Navires!$K$6</f>
        <v>0</v>
      </c>
      <c r="AX15" s="2">
        <f>M15*Navires!$L$6</f>
        <v>0</v>
      </c>
      <c r="AY15" s="2">
        <f>N15*Navires!$M$6</f>
        <v>0</v>
      </c>
      <c r="AZ15" s="2">
        <f>O15*Navires!$N$6</f>
        <v>0</v>
      </c>
      <c r="BA15" s="2">
        <f>P15*Navires!$O$6</f>
        <v>0</v>
      </c>
      <c r="BB15" s="2">
        <f>Q15*Navires!$P$6</f>
        <v>0</v>
      </c>
      <c r="BC15" s="185">
        <f>SUM(AN15:BB15)*Générale!$B$27</f>
        <v>10864.800000000001</v>
      </c>
      <c r="BE15" s="118" t="s">
        <v>47</v>
      </c>
      <c r="BF15" s="118">
        <f>C15*Navires!$B$6</f>
        <v>4563.2</v>
      </c>
      <c r="BG15" s="118">
        <f>D15*Navires!$B$6</f>
        <v>0</v>
      </c>
      <c r="BH15" s="118">
        <f>E15*Navires!$B$6</f>
        <v>3992.7999999999997</v>
      </c>
      <c r="BI15" s="118">
        <f>F15*Navires!$B$6</f>
        <v>0</v>
      </c>
      <c r="BJ15" s="118">
        <f>G15*Navires!$B$6</f>
        <v>4563.2</v>
      </c>
      <c r="BK15" s="118">
        <f>H15*Navires!$B$6</f>
        <v>5133.5999999999995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12776.96</v>
      </c>
    </row>
    <row r="16" spans="1:73" x14ac:dyDescent="0.25">
      <c r="B16" s="29" t="s">
        <v>60</v>
      </c>
      <c r="C16" s="30">
        <f>SUM(C4:C15)</f>
        <v>85</v>
      </c>
      <c r="D16" s="30">
        <f t="shared" ref="D16:Q16" si="2">SUM(D4:D15)</f>
        <v>101</v>
      </c>
      <c r="E16" s="30">
        <f t="shared" si="2"/>
        <v>68</v>
      </c>
      <c r="F16" s="30">
        <f t="shared" si="2"/>
        <v>71</v>
      </c>
      <c r="G16" s="30">
        <f t="shared" si="2"/>
        <v>75</v>
      </c>
      <c r="H16" s="30">
        <f t="shared" si="2"/>
        <v>119</v>
      </c>
      <c r="I16" s="30">
        <f t="shared" si="2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3</v>
      </c>
      <c r="Q16" s="30">
        <f t="shared" si="2"/>
        <v>0</v>
      </c>
      <c r="R16" s="34">
        <f t="shared" si="0"/>
        <v>522</v>
      </c>
      <c r="S16" s="82">
        <f t="shared" si="1"/>
        <v>10.013427968540187</v>
      </c>
      <c r="U16" s="29" t="s">
        <v>60</v>
      </c>
      <c r="V16" s="30">
        <f>SUM(V4:V15)</f>
        <v>166175</v>
      </c>
      <c r="W16" s="30">
        <f t="shared" ref="W16" si="3">SUM(W4:W15)</f>
        <v>197455</v>
      </c>
      <c r="X16" s="30">
        <f t="shared" ref="X16" si="4">SUM(X4:X15)</f>
        <v>143208</v>
      </c>
      <c r="Y16" s="30">
        <f t="shared" ref="Y16" si="5">SUM(Y4:Y15)</f>
        <v>133480</v>
      </c>
      <c r="Z16" s="30">
        <f t="shared" ref="Z16" si="6">SUM(Z4:Z15)</f>
        <v>142200</v>
      </c>
      <c r="AA16" s="30">
        <f t="shared" ref="AA16" si="7">SUM(AA4:AA15)</f>
        <v>238000</v>
      </c>
      <c r="AB16" s="30">
        <f t="shared" ref="AB16" si="8">SUM(AB4:AB15)</f>
        <v>0</v>
      </c>
      <c r="AC16" s="30">
        <f t="shared" ref="AC16" si="9">SUM(AC4:AC15)</f>
        <v>0</v>
      </c>
      <c r="AD16" s="30">
        <f t="shared" ref="AD16" si="10">SUM(AD4:AD15)</f>
        <v>0</v>
      </c>
      <c r="AE16" s="30">
        <f t="shared" ref="AE16" si="11">SUM(AE4:AE15)</f>
        <v>0</v>
      </c>
      <c r="AF16" s="30">
        <f t="shared" ref="AF16" si="12">SUM(AF4:AF15)</f>
        <v>0</v>
      </c>
      <c r="AG16" s="30">
        <f t="shared" ref="AG16" si="13">SUM(AG4:AG15)</f>
        <v>0</v>
      </c>
      <c r="AH16" s="30">
        <f t="shared" ref="AH16" si="14">SUM(AH4:AH15)</f>
        <v>0</v>
      </c>
      <c r="AI16" s="30">
        <f t="shared" ref="AI16" si="15">SUM(AI4:AI15)</f>
        <v>4500</v>
      </c>
      <c r="AJ16" s="30">
        <f t="shared" ref="AJ16" si="16">SUM(AJ4:AJ15)</f>
        <v>0</v>
      </c>
      <c r="AM16" s="29" t="s">
        <v>60</v>
      </c>
      <c r="AN16" s="30">
        <f>SUM(AN4:AN15)</f>
        <v>48484</v>
      </c>
      <c r="AO16" s="30">
        <f t="shared" ref="AO16" si="17">SUM(AO4:AO15)</f>
        <v>57610.400000000001</v>
      </c>
      <c r="AP16" s="30">
        <f t="shared" ref="AP16" si="18">SUM(AP4:AP15)</f>
        <v>54400</v>
      </c>
      <c r="AQ16" s="30">
        <f t="shared" ref="AQ16" si="19">SUM(AQ4:AQ15)</f>
        <v>87188</v>
      </c>
      <c r="AR16" s="30">
        <f t="shared" ref="AR16" si="20">SUM(AR4:AR15)</f>
        <v>51060.000000000015</v>
      </c>
      <c r="AS16" s="30">
        <f t="shared" ref="AS16" si="21">SUM(AS4:AS15)</f>
        <v>80920</v>
      </c>
      <c r="AT16" s="30">
        <f t="shared" ref="AT16" si="22">SUM(AT4:AT15)</f>
        <v>0</v>
      </c>
      <c r="AU16" s="30">
        <f t="shared" ref="AU16" si="23">SUM(AU4:AU15)</f>
        <v>0</v>
      </c>
      <c r="AV16" s="30">
        <f t="shared" ref="AV16" si="24">SUM(AV4:AV15)</f>
        <v>0</v>
      </c>
      <c r="AW16" s="30">
        <f t="shared" ref="AW16" si="25">SUM(AW4:AW15)</f>
        <v>0</v>
      </c>
      <c r="AX16" s="30">
        <f t="shared" ref="AX16" si="26">SUM(AX4:AX15)</f>
        <v>0</v>
      </c>
      <c r="AY16" s="30">
        <f t="shared" ref="AY16" si="27">SUM(AY4:AY15)</f>
        <v>0</v>
      </c>
      <c r="AZ16" s="30">
        <f t="shared" ref="AZ16" si="28">SUM(AZ4:AZ15)</f>
        <v>0</v>
      </c>
      <c r="BA16" s="30">
        <f t="shared" ref="BA16" si="29">SUM(BA4:BA15)</f>
        <v>1920</v>
      </c>
      <c r="BB16" s="30">
        <f t="shared" ref="BB16" si="30">SUM(BB4:BB15)</f>
        <v>0</v>
      </c>
      <c r="BE16" s="29" t="s">
        <v>60</v>
      </c>
      <c r="BF16" s="30">
        <f>SUM(BF4:BF15)</f>
        <v>48484</v>
      </c>
      <c r="BG16" s="30">
        <f t="shared" ref="BG16:BT16" si="31">SUM(BG4:BG15)</f>
        <v>57610.400000000001</v>
      </c>
      <c r="BH16" s="30">
        <f t="shared" si="31"/>
        <v>38787.199999999997</v>
      </c>
      <c r="BI16" s="30">
        <f t="shared" si="31"/>
        <v>40498.400000000001</v>
      </c>
      <c r="BJ16" s="30">
        <f t="shared" si="31"/>
        <v>42779.999999999993</v>
      </c>
      <c r="BK16" s="30">
        <f t="shared" si="31"/>
        <v>67877.599999999991</v>
      </c>
      <c r="BL16" s="30">
        <f t="shared" si="31"/>
        <v>0</v>
      </c>
      <c r="BM16" s="30">
        <f t="shared" si="31"/>
        <v>0</v>
      </c>
      <c r="BN16" s="30">
        <f t="shared" si="31"/>
        <v>0</v>
      </c>
      <c r="BO16" s="30">
        <f t="shared" si="31"/>
        <v>0</v>
      </c>
      <c r="BP16" s="30">
        <f t="shared" si="31"/>
        <v>0</v>
      </c>
      <c r="BQ16" s="30">
        <f t="shared" si="31"/>
        <v>0</v>
      </c>
      <c r="BR16" s="30">
        <f t="shared" si="31"/>
        <v>0</v>
      </c>
      <c r="BS16" s="30">
        <f t="shared" si="31"/>
        <v>1711.1999999999998</v>
      </c>
      <c r="BT16" s="30">
        <f t="shared" si="31"/>
        <v>0</v>
      </c>
    </row>
    <row r="18" spans="1:73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2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4</v>
      </c>
      <c r="D21" s="2">
        <v>2</v>
      </c>
      <c r="E21" s="2">
        <v>12</v>
      </c>
      <c r="F21" s="2">
        <v>0</v>
      </c>
      <c r="G21" s="2">
        <v>7</v>
      </c>
      <c r="H21" s="2">
        <v>13</v>
      </c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38</v>
      </c>
      <c r="S21" s="82">
        <f>R21/R36</f>
        <v>8.5778781038374721</v>
      </c>
      <c r="U21" s="2" t="s">
        <v>36</v>
      </c>
      <c r="V21" s="2">
        <f>C21*Navires!$B$2</f>
        <v>7820</v>
      </c>
      <c r="W21" s="2">
        <f>D21*Navires!$C$2</f>
        <v>3910</v>
      </c>
      <c r="X21" s="2">
        <f>E21*Navires!$D$2</f>
        <v>25272</v>
      </c>
      <c r="Y21" s="2">
        <f>F21*Navires!$E$2</f>
        <v>0</v>
      </c>
      <c r="Z21" s="2">
        <f>G21*Navires!$F$2</f>
        <v>13272</v>
      </c>
      <c r="AA21" s="2">
        <f>H21*Navires!$G$2</f>
        <v>26000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76274</v>
      </c>
      <c r="AM21" s="2" t="s">
        <v>36</v>
      </c>
      <c r="AN21" s="2">
        <f>C21*Navires!$B$6</f>
        <v>2281.6</v>
      </c>
      <c r="AO21" s="2">
        <f>D21*Navires!$C$6</f>
        <v>1140.8</v>
      </c>
      <c r="AP21" s="2">
        <f>E21*Navires!$D$6</f>
        <v>9600</v>
      </c>
      <c r="AQ21" s="2">
        <f>F21*Navires!$E$6</f>
        <v>0</v>
      </c>
      <c r="AR21" s="2">
        <f>G21*Navires!$F$6</f>
        <v>4765.6000000000004</v>
      </c>
      <c r="AS21" s="2">
        <f>H21*Navires!$G$6</f>
        <v>8840</v>
      </c>
      <c r="AT21" s="2">
        <f>I21*Navires!$H$6</f>
        <v>0</v>
      </c>
      <c r="AU21" s="2">
        <f>J21*Navires!$I$6</f>
        <v>0</v>
      </c>
      <c r="AV21" s="2">
        <f>K21*Navires!$J$6</f>
        <v>0</v>
      </c>
      <c r="AW21" s="2">
        <f>L21*Navires!$K$6</f>
        <v>0</v>
      </c>
      <c r="AX21" s="2">
        <f>M21*Navires!$L$6</f>
        <v>0</v>
      </c>
      <c r="AY21" s="2">
        <f>N21*Navires!$M$6</f>
        <v>0</v>
      </c>
      <c r="AZ21" s="2">
        <f>O21*Navires!$N$6</f>
        <v>0</v>
      </c>
      <c r="BA21" s="2">
        <f>P21*Navires!$O$6</f>
        <v>0</v>
      </c>
      <c r="BB21" s="2">
        <f>Q21*Navires!$P$6</f>
        <v>0</v>
      </c>
      <c r="BC21" s="185">
        <f>SUM(AN21:BB21)*Générale!$B$27</f>
        <v>13314</v>
      </c>
      <c r="BE21" s="118" t="s">
        <v>36</v>
      </c>
      <c r="BF21" s="118">
        <f>C21*Navires!$B$6</f>
        <v>2281.6</v>
      </c>
      <c r="BG21" s="118">
        <f>D21*Navires!$B$6</f>
        <v>1140.8</v>
      </c>
      <c r="BH21" s="118">
        <f>E21*Navires!$B$6</f>
        <v>6844.7999999999993</v>
      </c>
      <c r="BI21" s="118">
        <f>F21*Navires!$B$6</f>
        <v>0</v>
      </c>
      <c r="BJ21" s="118">
        <f>G21*Navires!$B$6</f>
        <v>3992.7999999999997</v>
      </c>
      <c r="BK21" s="118">
        <f>H21*Navires!$B$6</f>
        <v>7415.2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15172.639999999998</v>
      </c>
    </row>
    <row r="22" spans="1:73" x14ac:dyDescent="0.25">
      <c r="A22" t="s">
        <v>49</v>
      </c>
      <c r="B22" s="2" t="s">
        <v>37</v>
      </c>
      <c r="C22" s="2">
        <v>2</v>
      </c>
      <c r="D22" s="2">
        <v>10</v>
      </c>
      <c r="E22">
        <v>0</v>
      </c>
      <c r="F22" s="2">
        <v>3</v>
      </c>
      <c r="G22" s="2">
        <v>2</v>
      </c>
      <c r="H22" s="2">
        <v>11</v>
      </c>
      <c r="I22" s="2"/>
      <c r="J22" s="2"/>
      <c r="K22" s="2"/>
      <c r="L22" s="2"/>
      <c r="M22" s="2"/>
      <c r="N22" s="2"/>
      <c r="O22" s="2"/>
      <c r="P22" s="2"/>
      <c r="Q22" s="32"/>
      <c r="R22" s="34">
        <f t="shared" ref="R22:R33" si="32">SUM(C22:Q22)</f>
        <v>28</v>
      </c>
      <c r="S22" s="82">
        <f t="shared" ref="S22:S33" si="33">R22/R37</f>
        <v>7</v>
      </c>
      <c r="U22" s="2" t="s">
        <v>37</v>
      </c>
      <c r="V22" s="2">
        <f>C22*Navires!$B$2</f>
        <v>3910</v>
      </c>
      <c r="W22" s="2">
        <f>D22*Navires!$C$2</f>
        <v>19550</v>
      </c>
      <c r="X22" s="2">
        <f>E22*Navires!$D$2</f>
        <v>0</v>
      </c>
      <c r="Y22" s="2">
        <f>F22*Navires!$E$2</f>
        <v>5640</v>
      </c>
      <c r="Z22" s="2">
        <f>G22*Navires!$F$2</f>
        <v>3792</v>
      </c>
      <c r="AA22" s="2">
        <f>H22*Navires!$G$2</f>
        <v>22000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54892</v>
      </c>
      <c r="AM22" s="2" t="s">
        <v>37</v>
      </c>
      <c r="AN22" s="2">
        <f>C22*Navires!$B$6</f>
        <v>1140.8</v>
      </c>
      <c r="AO22" s="2">
        <f>D22*Navires!$C$6</f>
        <v>5704</v>
      </c>
      <c r="AP22" s="2">
        <f>E22*Navires!$D$6</f>
        <v>0</v>
      </c>
      <c r="AQ22" s="2">
        <f>F22*Navires!$E$6</f>
        <v>3684</v>
      </c>
      <c r="AR22" s="2">
        <f>G22*Navires!$F$6</f>
        <v>1361.6000000000001</v>
      </c>
      <c r="AS22" s="2">
        <f>H22*Navires!$G$6</f>
        <v>7480</v>
      </c>
      <c r="AT22" s="2">
        <f>I22*Navires!$H$6</f>
        <v>0</v>
      </c>
      <c r="AU22" s="2">
        <f>J22*Navires!$I$6</f>
        <v>0</v>
      </c>
      <c r="AV22" s="2">
        <f>K22*Navires!$J$6</f>
        <v>0</v>
      </c>
      <c r="AW22" s="2">
        <f>L22*Navires!$K$6</f>
        <v>0</v>
      </c>
      <c r="AX22" s="2">
        <f>M22*Navires!$L$6</f>
        <v>0</v>
      </c>
      <c r="AY22" s="2">
        <f>N22*Navires!$M$6</f>
        <v>0</v>
      </c>
      <c r="AZ22" s="2">
        <f>O22*Navires!$N$6</f>
        <v>0</v>
      </c>
      <c r="BA22" s="2">
        <f>P22*Navires!$O$6</f>
        <v>0</v>
      </c>
      <c r="BB22" s="2">
        <f>Q22*Navires!$P$6</f>
        <v>0</v>
      </c>
      <c r="BC22" s="185">
        <f>SUM(AN22:BB22)*Générale!$B$27</f>
        <v>9685.2000000000007</v>
      </c>
      <c r="BE22" s="118" t="s">
        <v>37</v>
      </c>
      <c r="BF22" s="118">
        <f>C22*Navires!$B$6</f>
        <v>1140.8</v>
      </c>
      <c r="BG22" s="118">
        <f>D22*Navires!$B$6</f>
        <v>5704</v>
      </c>
      <c r="BH22" s="118">
        <f>E22*Navires!$B$6</f>
        <v>0</v>
      </c>
      <c r="BI22" s="118">
        <f>F22*Navires!$B$6</f>
        <v>1711.1999999999998</v>
      </c>
      <c r="BJ22" s="118">
        <f>G22*Navires!$B$6</f>
        <v>1140.8</v>
      </c>
      <c r="BK22" s="118">
        <f>H22*Navires!$B$6</f>
        <v>6274.4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11179.839999999998</v>
      </c>
    </row>
    <row r="23" spans="1:73" x14ac:dyDescent="0.25">
      <c r="A23" t="s">
        <v>50</v>
      </c>
      <c r="B23" s="2" t="s">
        <v>38</v>
      </c>
      <c r="C23" s="2">
        <v>12</v>
      </c>
      <c r="D23" s="2">
        <v>5</v>
      </c>
      <c r="E23" s="2">
        <v>9</v>
      </c>
      <c r="F23" s="2">
        <v>3</v>
      </c>
      <c r="G23" s="2">
        <v>0</v>
      </c>
      <c r="H23" s="2">
        <v>2</v>
      </c>
      <c r="I23" s="2"/>
      <c r="J23" s="2"/>
      <c r="K23" s="2"/>
      <c r="L23" s="2"/>
      <c r="M23" s="2"/>
      <c r="N23" s="2"/>
      <c r="O23" s="2"/>
      <c r="P23" s="2"/>
      <c r="Q23" s="32"/>
      <c r="R23" s="34">
        <f t="shared" si="32"/>
        <v>31</v>
      </c>
      <c r="S23" s="82">
        <f t="shared" si="33"/>
        <v>6.9977426636568856</v>
      </c>
      <c r="U23" s="2" t="s">
        <v>38</v>
      </c>
      <c r="V23" s="2">
        <f>C23*Navires!$B$2</f>
        <v>23460</v>
      </c>
      <c r="W23" s="2">
        <f>D23*Navires!$C$2</f>
        <v>9775</v>
      </c>
      <c r="X23" s="2">
        <f>E23*Navires!$D$2</f>
        <v>18954</v>
      </c>
      <c r="Y23" s="2">
        <f>F23*Navires!$E$2</f>
        <v>5640</v>
      </c>
      <c r="Z23" s="2">
        <f>G23*Navires!$F$2</f>
        <v>0</v>
      </c>
      <c r="AA23" s="2">
        <f>H23*Navires!$G$2</f>
        <v>4000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61829</v>
      </c>
      <c r="AM23" s="2" t="s">
        <v>38</v>
      </c>
      <c r="AN23" s="2">
        <f>C23*Navires!$B$6</f>
        <v>6844.7999999999993</v>
      </c>
      <c r="AO23" s="2">
        <f>D23*Navires!$C$6</f>
        <v>2852</v>
      </c>
      <c r="AP23" s="2">
        <f>E23*Navires!$D$6</f>
        <v>7200</v>
      </c>
      <c r="AQ23" s="2">
        <f>F23*Navires!$E$6</f>
        <v>3684</v>
      </c>
      <c r="AR23" s="2">
        <f>G23*Navires!$F$6</f>
        <v>0</v>
      </c>
      <c r="AS23" s="2">
        <f>H23*Navires!$G$6</f>
        <v>1360</v>
      </c>
      <c r="AT23" s="2">
        <f>I23*Navires!$H$6</f>
        <v>0</v>
      </c>
      <c r="AU23" s="2">
        <f>J23*Navires!$I$6</f>
        <v>0</v>
      </c>
      <c r="AV23" s="2">
        <f>K23*Navires!$J$6</f>
        <v>0</v>
      </c>
      <c r="AW23" s="2">
        <f>L23*Navires!$K$6</f>
        <v>0</v>
      </c>
      <c r="AX23" s="2">
        <f>M23*Navires!$L$6</f>
        <v>0</v>
      </c>
      <c r="AY23" s="2">
        <f>N23*Navires!$M$6</f>
        <v>0</v>
      </c>
      <c r="AZ23" s="2">
        <f>O23*Navires!$N$6</f>
        <v>0</v>
      </c>
      <c r="BA23" s="2">
        <f>P23*Navires!$O$6</f>
        <v>0</v>
      </c>
      <c r="BB23" s="2">
        <f>Q23*Navires!$P$6</f>
        <v>0</v>
      </c>
      <c r="BC23" s="185">
        <f>SUM(AN23:BB23)*Générale!$B$27</f>
        <v>10970.4</v>
      </c>
      <c r="BE23" s="118" t="s">
        <v>38</v>
      </c>
      <c r="BF23" s="118">
        <f>C23*Navires!$B$6</f>
        <v>6844.7999999999993</v>
      </c>
      <c r="BG23" s="118">
        <f>D23*Navires!$B$6</f>
        <v>2852</v>
      </c>
      <c r="BH23" s="118">
        <f>E23*Navires!$B$6</f>
        <v>5133.5999999999995</v>
      </c>
      <c r="BI23" s="118">
        <f>F23*Navires!$B$6</f>
        <v>1711.1999999999998</v>
      </c>
      <c r="BJ23" s="118">
        <f>G23*Navires!$B$6</f>
        <v>0</v>
      </c>
      <c r="BK23" s="118">
        <f>H23*Navires!$B$6</f>
        <v>1140.8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12377.679999999998</v>
      </c>
    </row>
    <row r="24" spans="1:73" x14ac:dyDescent="0.25">
      <c r="A24" t="s">
        <v>51</v>
      </c>
      <c r="B24" s="2" t="s">
        <v>39</v>
      </c>
      <c r="C24" s="2">
        <v>5</v>
      </c>
      <c r="D24" s="2">
        <v>0</v>
      </c>
      <c r="E24" s="2">
        <v>18</v>
      </c>
      <c r="F24" s="2">
        <v>8</v>
      </c>
      <c r="G24" s="2">
        <v>7</v>
      </c>
      <c r="H24" s="2">
        <v>3</v>
      </c>
      <c r="I24" s="2"/>
      <c r="J24" s="2"/>
      <c r="K24" s="2"/>
      <c r="L24" s="2"/>
      <c r="M24" s="2"/>
      <c r="N24" s="2"/>
      <c r="O24" s="2"/>
      <c r="P24" s="2"/>
      <c r="Q24" s="32"/>
      <c r="R24" s="34">
        <f t="shared" si="32"/>
        <v>41</v>
      </c>
      <c r="S24" s="82">
        <f t="shared" si="33"/>
        <v>9.5794392523364476</v>
      </c>
      <c r="U24" s="2" t="s">
        <v>39</v>
      </c>
      <c r="V24" s="2">
        <f>C24*Navires!$B$2</f>
        <v>9775</v>
      </c>
      <c r="W24" s="2">
        <f>D24*Navires!$C$2</f>
        <v>0</v>
      </c>
      <c r="X24" s="2">
        <f>E24*Navires!$D$2</f>
        <v>37908</v>
      </c>
      <c r="Y24" s="2">
        <f>F24*Navires!$E$2</f>
        <v>15040</v>
      </c>
      <c r="Z24" s="2">
        <f>G24*Navires!$F$2</f>
        <v>13272</v>
      </c>
      <c r="AA24" s="2">
        <f>H24*Navires!$G$2</f>
        <v>6000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81995</v>
      </c>
      <c r="AM24" s="2" t="s">
        <v>39</v>
      </c>
      <c r="AN24" s="2">
        <f>C24*Navires!$B$6</f>
        <v>2852</v>
      </c>
      <c r="AO24" s="2">
        <f>D24*Navires!$C$6</f>
        <v>0</v>
      </c>
      <c r="AP24" s="2">
        <f>E24*Navires!$D$6</f>
        <v>14400</v>
      </c>
      <c r="AQ24" s="2">
        <f>F24*Navires!$E$6</f>
        <v>9824</v>
      </c>
      <c r="AR24" s="2">
        <f>G24*Navires!$F$6</f>
        <v>4765.6000000000004</v>
      </c>
      <c r="AS24" s="2">
        <f>H24*Navires!$G$6</f>
        <v>2040</v>
      </c>
      <c r="AT24" s="2">
        <f>I24*Navires!$H$6</f>
        <v>0</v>
      </c>
      <c r="AU24" s="2">
        <f>J24*Navires!$I$6</f>
        <v>0</v>
      </c>
      <c r="AV24" s="2">
        <f>K24*Navires!$J$6</f>
        <v>0</v>
      </c>
      <c r="AW24" s="2">
        <f>L24*Navires!$K$6</f>
        <v>0</v>
      </c>
      <c r="AX24" s="2">
        <f>M24*Navires!$L$6</f>
        <v>0</v>
      </c>
      <c r="AY24" s="2">
        <f>N24*Navires!$M$6</f>
        <v>0</v>
      </c>
      <c r="AZ24" s="2">
        <f>O24*Navires!$N$6</f>
        <v>0</v>
      </c>
      <c r="BA24" s="2">
        <f>P24*Navires!$O$6</f>
        <v>0</v>
      </c>
      <c r="BB24" s="2">
        <f>Q24*Navires!$P$6</f>
        <v>0</v>
      </c>
      <c r="BC24" s="185">
        <f>SUM(AN24:BB24)*Générale!$B$27</f>
        <v>16940.8</v>
      </c>
      <c r="BE24" s="118" t="s">
        <v>39</v>
      </c>
      <c r="BF24" s="118">
        <f>C24*Navires!$B$6</f>
        <v>2852</v>
      </c>
      <c r="BG24" s="118">
        <f>D24*Navires!$B$6</f>
        <v>0</v>
      </c>
      <c r="BH24" s="118">
        <f>E24*Navires!$B$6</f>
        <v>10267.199999999999</v>
      </c>
      <c r="BI24" s="118">
        <f>F24*Navires!$B$6</f>
        <v>4563.2</v>
      </c>
      <c r="BJ24" s="118">
        <f>G24*Navires!$B$6</f>
        <v>3992.7999999999997</v>
      </c>
      <c r="BK24" s="118">
        <f>H24*Navires!$B$6</f>
        <v>1711.1999999999998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39756.879999999997</v>
      </c>
    </row>
    <row r="25" spans="1:73" x14ac:dyDescent="0.25">
      <c r="A25" t="s">
        <v>52</v>
      </c>
      <c r="B25" s="2" t="s">
        <v>40</v>
      </c>
      <c r="C25" s="2">
        <v>0</v>
      </c>
      <c r="D25" s="2">
        <v>0</v>
      </c>
      <c r="E25" s="2">
        <v>23</v>
      </c>
      <c r="F25" s="2">
        <v>16</v>
      </c>
      <c r="G25" s="2">
        <v>6</v>
      </c>
      <c r="H25" s="2">
        <v>7</v>
      </c>
      <c r="I25" s="2"/>
      <c r="J25" s="2"/>
      <c r="K25" s="2"/>
      <c r="L25" s="2"/>
      <c r="M25" s="2"/>
      <c r="N25" s="2"/>
      <c r="O25" s="2"/>
      <c r="P25" s="2"/>
      <c r="Q25" s="32"/>
      <c r="R25" s="34">
        <f t="shared" si="32"/>
        <v>52</v>
      </c>
      <c r="S25" s="82">
        <f t="shared" si="33"/>
        <v>11.738148984198647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48438</v>
      </c>
      <c r="Y25" s="2">
        <f>F25*Navires!$E$2</f>
        <v>30080</v>
      </c>
      <c r="Z25" s="2">
        <f>G25*Navires!$F$2</f>
        <v>11376</v>
      </c>
      <c r="AA25" s="2">
        <f>H25*Navires!$G$2</f>
        <v>14000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103894</v>
      </c>
      <c r="AM25" s="2" t="s">
        <v>40</v>
      </c>
      <c r="AN25" s="2">
        <f>C25*Navires!$B$6</f>
        <v>0</v>
      </c>
      <c r="AO25" s="2">
        <f>D25*Navires!$C$6</f>
        <v>0</v>
      </c>
      <c r="AP25" s="2">
        <f>E25*Navires!$D$6</f>
        <v>18400</v>
      </c>
      <c r="AQ25" s="2">
        <f>F25*Navires!$E$6</f>
        <v>19648</v>
      </c>
      <c r="AR25" s="2">
        <f>G25*Navires!$F$6</f>
        <v>4084.8</v>
      </c>
      <c r="AS25" s="2">
        <f>H25*Navires!$G$6</f>
        <v>4760</v>
      </c>
      <c r="AT25" s="2">
        <f>I25*Navires!$H$6</f>
        <v>0</v>
      </c>
      <c r="AU25" s="2">
        <f>J25*Navires!$I$6</f>
        <v>0</v>
      </c>
      <c r="AV25" s="2">
        <f>K25*Navires!$J$6</f>
        <v>0</v>
      </c>
      <c r="AW25" s="2">
        <f>L25*Navires!$K$6</f>
        <v>0</v>
      </c>
      <c r="AX25" s="2">
        <f>M25*Navires!$L$6</f>
        <v>0</v>
      </c>
      <c r="AY25" s="2">
        <f>N25*Navires!$M$6</f>
        <v>0</v>
      </c>
      <c r="AZ25" s="2">
        <f>O25*Navires!$N$6</f>
        <v>0</v>
      </c>
      <c r="BA25" s="2">
        <f>P25*Navires!$O$6</f>
        <v>0</v>
      </c>
      <c r="BB25" s="2">
        <f>Q25*Navires!$P$6</f>
        <v>0</v>
      </c>
      <c r="BC25" s="185">
        <f>SUM(AN25:BB25)*Générale!$B$26</f>
        <v>14067.84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13119.199999999999</v>
      </c>
      <c r="BI25" s="118">
        <f>F25*Navires!$B$6</f>
        <v>9126.4</v>
      </c>
      <c r="BJ25" s="118">
        <f>G25*Navires!$B$6</f>
        <v>3422.3999999999996</v>
      </c>
      <c r="BK25" s="118">
        <f>H25*Navires!$B$6</f>
        <v>3992.7999999999997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50423.360000000001</v>
      </c>
    </row>
    <row r="26" spans="1:73" x14ac:dyDescent="0.25">
      <c r="A26" t="s">
        <v>53</v>
      </c>
      <c r="B26" s="2" t="s">
        <v>41</v>
      </c>
      <c r="C26" s="2">
        <v>0</v>
      </c>
      <c r="D26" s="2">
        <v>20</v>
      </c>
      <c r="E26" s="2">
        <v>2</v>
      </c>
      <c r="F26" s="2">
        <v>11</v>
      </c>
      <c r="G26" s="2">
        <v>9</v>
      </c>
      <c r="H26" s="2">
        <v>12</v>
      </c>
      <c r="I26" s="2"/>
      <c r="J26" s="2"/>
      <c r="K26" s="2"/>
      <c r="L26" s="2"/>
      <c r="M26" s="2"/>
      <c r="N26" s="2"/>
      <c r="O26" s="2"/>
      <c r="P26" s="2">
        <v>3</v>
      </c>
      <c r="Q26" s="32"/>
      <c r="R26" s="34">
        <f t="shared" si="32"/>
        <v>57</v>
      </c>
      <c r="S26" s="82">
        <f t="shared" si="33"/>
        <v>13.317757009345794</v>
      </c>
      <c r="U26" s="2" t="s">
        <v>41</v>
      </c>
      <c r="V26" s="2">
        <f>C26*Navires!$B$2</f>
        <v>0</v>
      </c>
      <c r="W26" s="2">
        <f>D26*Navires!$C$2</f>
        <v>39100</v>
      </c>
      <c r="X26" s="2">
        <f>E26*Navires!$D$2</f>
        <v>4212</v>
      </c>
      <c r="Y26" s="2">
        <f>F26*Navires!$E$2</f>
        <v>20680</v>
      </c>
      <c r="Z26" s="2">
        <f>G26*Navires!$F$2</f>
        <v>17064</v>
      </c>
      <c r="AA26" s="2">
        <f>H26*Navires!$G$2</f>
        <v>24000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4500</v>
      </c>
      <c r="AJ26" s="2">
        <f>Q26*Navires!$P$2</f>
        <v>0</v>
      </c>
      <c r="AK26" s="35">
        <f>(SUM(V26:AJ26))*Générale!$B12</f>
        <v>109556</v>
      </c>
      <c r="AM26" s="2" t="s">
        <v>41</v>
      </c>
      <c r="AN26" s="2">
        <f>C26*Navires!$B$6</f>
        <v>0</v>
      </c>
      <c r="AO26" s="2">
        <f>D26*Navires!$C$6</f>
        <v>11408</v>
      </c>
      <c r="AP26" s="2">
        <f>E26*Navires!$D$6</f>
        <v>1600</v>
      </c>
      <c r="AQ26" s="2">
        <f>F26*Navires!$E$6</f>
        <v>13508</v>
      </c>
      <c r="AR26" s="2">
        <f>G26*Navires!$F$6</f>
        <v>6127.2000000000007</v>
      </c>
      <c r="AS26" s="2">
        <f>H26*Navires!$G$6</f>
        <v>8160</v>
      </c>
      <c r="AT26" s="2">
        <f>I26*Navires!$H$6</f>
        <v>0</v>
      </c>
      <c r="AU26" s="2">
        <f>J26*Navires!$I$6</f>
        <v>0</v>
      </c>
      <c r="AV26" s="2">
        <f>K26*Navires!$J$6</f>
        <v>0</v>
      </c>
      <c r="AW26" s="2">
        <f>L26*Navires!$K$6</f>
        <v>0</v>
      </c>
      <c r="AX26" s="2">
        <f>M26*Navires!$L$6</f>
        <v>0</v>
      </c>
      <c r="AY26" s="2">
        <f>N26*Navires!$M$6</f>
        <v>0</v>
      </c>
      <c r="AZ26" s="2">
        <f>O26*Navires!$N$6</f>
        <v>0</v>
      </c>
      <c r="BA26" s="2">
        <f>P26*Navires!$O$6</f>
        <v>1920</v>
      </c>
      <c r="BB26" s="2">
        <f>Q26*Navires!$P$6</f>
        <v>0</v>
      </c>
      <c r="BC26" s="185">
        <f>SUM(AN26:BB26)*Générale!$B$26</f>
        <v>12816.96</v>
      </c>
      <c r="BE26" s="118" t="s">
        <v>41</v>
      </c>
      <c r="BF26" s="118">
        <f>C26*Navires!$B$6</f>
        <v>0</v>
      </c>
      <c r="BG26" s="118">
        <f>D26*Navires!$B$6</f>
        <v>11408</v>
      </c>
      <c r="BH26" s="118">
        <f>E26*Navires!$B$6</f>
        <v>1140.8</v>
      </c>
      <c r="BI26" s="118">
        <f>F26*Navires!$B$6</f>
        <v>6274.4</v>
      </c>
      <c r="BJ26" s="118">
        <f>G26*Navires!$B$6</f>
        <v>5133.5999999999995</v>
      </c>
      <c r="BK26" s="118">
        <f>H26*Navires!$B$6</f>
        <v>6844.7999999999993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1711.1999999999998</v>
      </c>
      <c r="BT26" s="118">
        <f>Q26*Navires!$B$6</f>
        <v>0</v>
      </c>
      <c r="BU26" s="185">
        <f>SUM(BF26:BT26)*Générale!$B$22</f>
        <v>55271.759999999995</v>
      </c>
    </row>
    <row r="27" spans="1:73" x14ac:dyDescent="0.25">
      <c r="A27" t="s">
        <v>54</v>
      </c>
      <c r="B27" s="2" t="s">
        <v>42</v>
      </c>
      <c r="C27" s="2">
        <v>14</v>
      </c>
      <c r="D27" s="2">
        <v>14</v>
      </c>
      <c r="E27" s="2">
        <v>0</v>
      </c>
      <c r="F27" s="2">
        <v>8</v>
      </c>
      <c r="G27" s="2">
        <v>10</v>
      </c>
      <c r="H27" s="2">
        <v>18</v>
      </c>
      <c r="I27" s="2"/>
      <c r="J27" s="2"/>
      <c r="K27" s="2"/>
      <c r="L27" s="2"/>
      <c r="M27" s="2"/>
      <c r="N27" s="2"/>
      <c r="O27" s="2"/>
      <c r="P27" s="2"/>
      <c r="Q27" s="32"/>
      <c r="R27" s="34">
        <f t="shared" si="32"/>
        <v>64</v>
      </c>
      <c r="S27" s="82">
        <f t="shared" si="33"/>
        <v>14.446952595936796</v>
      </c>
      <c r="U27" s="2" t="s">
        <v>42</v>
      </c>
      <c r="V27" s="2">
        <f>C27*Navires!$B$2</f>
        <v>27370</v>
      </c>
      <c r="W27" s="2">
        <f>D27*Navires!$C$2</f>
        <v>27370</v>
      </c>
      <c r="X27" s="2">
        <f>E27*Navires!$D$2</f>
        <v>0</v>
      </c>
      <c r="Y27" s="2">
        <f>F27*Navires!$E$2</f>
        <v>15040</v>
      </c>
      <c r="Z27" s="2">
        <f>G27*Navires!$F$2</f>
        <v>18960</v>
      </c>
      <c r="AA27" s="2">
        <f>H27*Navires!$G$2</f>
        <v>36000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124740</v>
      </c>
      <c r="AM27" s="2" t="s">
        <v>42</v>
      </c>
      <c r="AN27" s="2">
        <f>C27*Navires!$B$6</f>
        <v>7985.5999999999995</v>
      </c>
      <c r="AO27" s="2">
        <f>D27*Navires!$C$6</f>
        <v>7985.5999999999995</v>
      </c>
      <c r="AP27" s="2">
        <f>E27*Navires!$D$6</f>
        <v>0</v>
      </c>
      <c r="AQ27" s="2">
        <f>F27*Navires!$E$6</f>
        <v>9824</v>
      </c>
      <c r="AR27" s="2">
        <f>G27*Navires!$F$6</f>
        <v>6808.0000000000009</v>
      </c>
      <c r="AS27" s="2">
        <f>H27*Navires!$G$6</f>
        <v>12240</v>
      </c>
      <c r="AT27" s="2">
        <f>I27*Navires!$H$6</f>
        <v>0</v>
      </c>
      <c r="AU27" s="2">
        <f>J27*Navires!$I$6</f>
        <v>0</v>
      </c>
      <c r="AV27" s="2">
        <f>K27*Navires!$J$6</f>
        <v>0</v>
      </c>
      <c r="AW27" s="2">
        <f>L27*Navires!$K$6</f>
        <v>0</v>
      </c>
      <c r="AX27" s="2">
        <f>M27*Navires!$L$6</f>
        <v>0</v>
      </c>
      <c r="AY27" s="2">
        <f>N27*Navires!$M$6</f>
        <v>0</v>
      </c>
      <c r="AZ27" s="2">
        <f>O27*Navires!$N$6</f>
        <v>0</v>
      </c>
      <c r="BA27" s="2">
        <f>P27*Navires!$O$6</f>
        <v>0</v>
      </c>
      <c r="BB27" s="2">
        <f>Q27*Navires!$P$6</f>
        <v>0</v>
      </c>
      <c r="BC27" s="185">
        <f>SUM(AN27:BB27)*Générale!$B$26</f>
        <v>13452.96</v>
      </c>
      <c r="BE27" s="118" t="s">
        <v>42</v>
      </c>
      <c r="BF27" s="118">
        <f>C27*Navires!$B$6</f>
        <v>7985.5999999999995</v>
      </c>
      <c r="BG27" s="118">
        <f>D27*Navires!$B$6</f>
        <v>7985.5999999999995</v>
      </c>
      <c r="BH27" s="118">
        <f>E27*Navires!$B$6</f>
        <v>0</v>
      </c>
      <c r="BI27" s="118">
        <f>F27*Navires!$B$6</f>
        <v>4563.2</v>
      </c>
      <c r="BJ27" s="118">
        <f>G27*Navires!$B$6</f>
        <v>5704</v>
      </c>
      <c r="BK27" s="118">
        <f>H27*Navires!$B$6</f>
        <v>10267.199999999999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62059.519999999997</v>
      </c>
    </row>
    <row r="28" spans="1:73" x14ac:dyDescent="0.25">
      <c r="A28" t="s">
        <v>55</v>
      </c>
      <c r="B28" s="2" t="s">
        <v>43</v>
      </c>
      <c r="C28" s="2">
        <v>14</v>
      </c>
      <c r="D28" s="2">
        <v>14</v>
      </c>
      <c r="E28" s="2">
        <v>0</v>
      </c>
      <c r="F28" s="2">
        <v>9</v>
      </c>
      <c r="G28" s="2">
        <v>10</v>
      </c>
      <c r="H28" s="2">
        <v>15</v>
      </c>
      <c r="I28" s="2"/>
      <c r="J28" s="2"/>
      <c r="K28" s="2"/>
      <c r="L28" s="2"/>
      <c r="M28" s="2"/>
      <c r="N28" s="2"/>
      <c r="O28" s="2"/>
      <c r="P28" s="2"/>
      <c r="Q28" s="32"/>
      <c r="R28" s="34">
        <f t="shared" si="32"/>
        <v>62</v>
      </c>
      <c r="S28" s="82">
        <f t="shared" si="33"/>
        <v>13.995485327313771</v>
      </c>
      <c r="U28" s="2" t="s">
        <v>43</v>
      </c>
      <c r="V28" s="2">
        <f>C28*Navires!$B$2</f>
        <v>27370</v>
      </c>
      <c r="W28" s="2">
        <f>D28*Navires!$C$2</f>
        <v>27370</v>
      </c>
      <c r="X28" s="2">
        <f>E28*Navires!$D$2</f>
        <v>0</v>
      </c>
      <c r="Y28" s="2">
        <f>F28*Navires!$E$2</f>
        <v>16920</v>
      </c>
      <c r="Z28" s="2">
        <f>G28*Navires!$F$2</f>
        <v>18960</v>
      </c>
      <c r="AA28" s="2">
        <f>H28*Navires!$G$2</f>
        <v>30000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120620</v>
      </c>
      <c r="AM28" s="2" t="s">
        <v>43</v>
      </c>
      <c r="AN28" s="2">
        <f>C28*Navires!$B$6</f>
        <v>7985.5999999999995</v>
      </c>
      <c r="AO28" s="2">
        <f>D28*Navires!$C$6</f>
        <v>7985.5999999999995</v>
      </c>
      <c r="AP28" s="2">
        <f>E28*Navires!$D$6</f>
        <v>0</v>
      </c>
      <c r="AQ28" s="2">
        <f>F28*Navires!$E$6</f>
        <v>11052</v>
      </c>
      <c r="AR28" s="2">
        <f>G28*Navires!$F$6</f>
        <v>6808.0000000000009</v>
      </c>
      <c r="AS28" s="2">
        <f>H28*Navires!$G$6</f>
        <v>10200</v>
      </c>
      <c r="AT28" s="2">
        <f>I28*Navires!$H$6</f>
        <v>0</v>
      </c>
      <c r="AU28" s="2">
        <f>J28*Navires!$I$6</f>
        <v>0</v>
      </c>
      <c r="AV28" s="2">
        <f>K28*Navires!$J$6</f>
        <v>0</v>
      </c>
      <c r="AW28" s="2">
        <f>L28*Navires!$K$6</f>
        <v>0</v>
      </c>
      <c r="AX28" s="2">
        <f>M28*Navires!$L$6</f>
        <v>0</v>
      </c>
      <c r="AY28" s="2">
        <f>N28*Navires!$M$6</f>
        <v>0</v>
      </c>
      <c r="AZ28" s="2">
        <f>O28*Navires!$N$6</f>
        <v>0</v>
      </c>
      <c r="BA28" s="2">
        <f>P28*Navires!$O$6</f>
        <v>0</v>
      </c>
      <c r="BB28" s="2">
        <f>Q28*Navires!$P$6</f>
        <v>0</v>
      </c>
      <c r="BC28" s="185">
        <f>SUM(AN28:BB28)*Générale!$B$26</f>
        <v>13209.359999999999</v>
      </c>
      <c r="BE28" s="118" t="s">
        <v>43</v>
      </c>
      <c r="BF28" s="118">
        <f>C28*Navires!$B$6</f>
        <v>7985.5999999999995</v>
      </c>
      <c r="BG28" s="118">
        <f>D28*Navires!$B$6</f>
        <v>7985.5999999999995</v>
      </c>
      <c r="BH28" s="118">
        <f>E28*Navires!$B$6</f>
        <v>0</v>
      </c>
      <c r="BI28" s="118">
        <f>F28*Navires!$B$6</f>
        <v>5133.5999999999995</v>
      </c>
      <c r="BJ28" s="118">
        <f>G28*Navires!$B$6</f>
        <v>5704</v>
      </c>
      <c r="BK28" s="118">
        <f>H28*Navires!$B$6</f>
        <v>8556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60120.160000000003</v>
      </c>
    </row>
    <row r="29" spans="1:73" x14ac:dyDescent="0.25">
      <c r="A29" t="s">
        <v>56</v>
      </c>
      <c r="B29" s="2" t="s">
        <v>44</v>
      </c>
      <c r="C29" s="2">
        <v>3</v>
      </c>
      <c r="D29" s="2">
        <v>17</v>
      </c>
      <c r="E29" s="2">
        <v>0</v>
      </c>
      <c r="F29" s="2">
        <v>12</v>
      </c>
      <c r="G29" s="2">
        <v>6</v>
      </c>
      <c r="H29" s="2">
        <v>13</v>
      </c>
      <c r="I29" s="2"/>
      <c r="J29" s="2"/>
      <c r="K29" s="2"/>
      <c r="L29" s="2"/>
      <c r="M29" s="2"/>
      <c r="N29" s="2"/>
      <c r="O29" s="2"/>
      <c r="P29" s="2"/>
      <c r="Q29" s="32"/>
      <c r="R29" s="34">
        <f t="shared" si="32"/>
        <v>51</v>
      </c>
      <c r="S29" s="82">
        <f t="shared" si="33"/>
        <v>11.915887850467289</v>
      </c>
      <c r="U29" s="2" t="s">
        <v>44</v>
      </c>
      <c r="V29" s="2">
        <f>C29*Navires!$B$2</f>
        <v>5865</v>
      </c>
      <c r="W29" s="2">
        <f>D29*Navires!$C$2</f>
        <v>33235</v>
      </c>
      <c r="X29" s="2">
        <f>E29*Navires!$D$2</f>
        <v>0</v>
      </c>
      <c r="Y29" s="2">
        <f>F29*Navires!$E$2</f>
        <v>22560</v>
      </c>
      <c r="Z29" s="2">
        <f>G29*Navires!$F$2</f>
        <v>11376</v>
      </c>
      <c r="AA29" s="2">
        <f>H29*Navires!$G$2</f>
        <v>26000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99036</v>
      </c>
      <c r="AM29" s="2" t="s">
        <v>44</v>
      </c>
      <c r="AN29" s="2">
        <f>C29*Navires!$B$6</f>
        <v>1711.1999999999998</v>
      </c>
      <c r="AO29" s="2">
        <f>D29*Navires!$C$6</f>
        <v>9696.7999999999993</v>
      </c>
      <c r="AP29" s="2">
        <f>E29*Navires!$D$6</f>
        <v>0</v>
      </c>
      <c r="AQ29" s="2">
        <f>F29*Navires!$E$6</f>
        <v>14736</v>
      </c>
      <c r="AR29" s="2">
        <f>G29*Navires!$F$6</f>
        <v>4084.8</v>
      </c>
      <c r="AS29" s="2">
        <f>H29*Navires!$G$6</f>
        <v>8840</v>
      </c>
      <c r="AT29" s="2">
        <f>I29*Navires!$H$6</f>
        <v>0</v>
      </c>
      <c r="AU29" s="2">
        <f>J29*Navires!$I$6</f>
        <v>0</v>
      </c>
      <c r="AV29" s="2">
        <f>K29*Navires!$J$6</f>
        <v>0</v>
      </c>
      <c r="AW29" s="2">
        <f>L29*Navires!$K$6</f>
        <v>0</v>
      </c>
      <c r="AX29" s="2">
        <f>M29*Navires!$L$6</f>
        <v>0</v>
      </c>
      <c r="AY29" s="2">
        <f>N29*Navires!$M$6</f>
        <v>0</v>
      </c>
      <c r="AZ29" s="2">
        <f>O29*Navires!$N$6</f>
        <v>0</v>
      </c>
      <c r="BA29" s="2">
        <f>P29*Navires!$O$6</f>
        <v>0</v>
      </c>
      <c r="BB29" s="2">
        <f>Q29*Navires!$P$6</f>
        <v>0</v>
      </c>
      <c r="BC29" s="185">
        <f>SUM(AN29:BB29)*Générale!$B$26</f>
        <v>11720.640000000001</v>
      </c>
      <c r="BE29" s="118" t="s">
        <v>44</v>
      </c>
      <c r="BF29" s="118">
        <f>C29*Navires!$B$6</f>
        <v>1711.1999999999998</v>
      </c>
      <c r="BG29" s="118">
        <f>D29*Navires!$B$6</f>
        <v>9696.7999999999993</v>
      </c>
      <c r="BH29" s="118">
        <f>E29*Navires!$B$6</f>
        <v>0</v>
      </c>
      <c r="BI29" s="118">
        <f>F29*Navires!$B$6</f>
        <v>6844.7999999999993</v>
      </c>
      <c r="BJ29" s="118">
        <f>G29*Navires!$B$6</f>
        <v>3422.3999999999996</v>
      </c>
      <c r="BK29" s="118">
        <f>H29*Navires!$B$6</f>
        <v>7415.2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49453.679999999993</v>
      </c>
    </row>
    <row r="30" spans="1:73" x14ac:dyDescent="0.25">
      <c r="A30" t="s">
        <v>57</v>
      </c>
      <c r="B30" s="2" t="s">
        <v>45</v>
      </c>
      <c r="C30" s="2">
        <v>6</v>
      </c>
      <c r="D30" s="2">
        <v>13</v>
      </c>
      <c r="E30" s="2">
        <v>0</v>
      </c>
      <c r="F30" s="2">
        <v>2</v>
      </c>
      <c r="G30" s="2">
        <v>7</v>
      </c>
      <c r="H30" s="2">
        <v>10</v>
      </c>
      <c r="I30" s="2"/>
      <c r="J30" s="2"/>
      <c r="K30" s="2"/>
      <c r="L30" s="2"/>
      <c r="M30" s="2"/>
      <c r="N30" s="2"/>
      <c r="O30" s="2"/>
      <c r="P30" s="2"/>
      <c r="Q30" s="32"/>
      <c r="R30" s="34">
        <f t="shared" si="32"/>
        <v>38</v>
      </c>
      <c r="S30" s="82">
        <f t="shared" si="33"/>
        <v>8.5778781038374721</v>
      </c>
      <c r="U30" s="2" t="s">
        <v>45</v>
      </c>
      <c r="V30" s="2">
        <f>C30*Navires!$B$2</f>
        <v>11730</v>
      </c>
      <c r="W30" s="2">
        <f>D30*Navires!$C$2</f>
        <v>25415</v>
      </c>
      <c r="X30" s="2">
        <f>E30*Navires!$D$2</f>
        <v>0</v>
      </c>
      <c r="Y30" s="2">
        <f>F30*Navires!$E$2</f>
        <v>3760</v>
      </c>
      <c r="Z30" s="2">
        <f>G30*Navires!$F$2</f>
        <v>13272</v>
      </c>
      <c r="AA30" s="2">
        <f>H30*Navires!$G$2</f>
        <v>20000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74177</v>
      </c>
      <c r="AM30" s="2" t="s">
        <v>45</v>
      </c>
      <c r="AN30" s="2">
        <f>C30*Navires!$B$6</f>
        <v>3422.3999999999996</v>
      </c>
      <c r="AO30" s="2">
        <f>D30*Navires!$C$6</f>
        <v>7415.2</v>
      </c>
      <c r="AP30" s="2">
        <f>E30*Navires!$D$6</f>
        <v>0</v>
      </c>
      <c r="AQ30" s="2">
        <f>F30*Navires!$E$6</f>
        <v>2456</v>
      </c>
      <c r="AR30" s="2">
        <f>G30*Navires!$F$6</f>
        <v>4765.6000000000004</v>
      </c>
      <c r="AS30" s="2">
        <f>H30*Navires!$G$6</f>
        <v>6800</v>
      </c>
      <c r="AT30" s="2">
        <f>I30*Navires!$H$6</f>
        <v>0</v>
      </c>
      <c r="AU30" s="2">
        <f>J30*Navires!$I$6</f>
        <v>0</v>
      </c>
      <c r="AV30" s="2">
        <f>K30*Navires!$J$6</f>
        <v>0</v>
      </c>
      <c r="AW30" s="2">
        <f>L30*Navires!$K$6</f>
        <v>0</v>
      </c>
      <c r="AX30" s="2">
        <f>M30*Navires!$L$6</f>
        <v>0</v>
      </c>
      <c r="AY30" s="2">
        <f>N30*Navires!$M$6</f>
        <v>0</v>
      </c>
      <c r="AZ30" s="2">
        <f>O30*Navires!$N$6</f>
        <v>0</v>
      </c>
      <c r="BA30" s="2">
        <f>P30*Navires!$O$6</f>
        <v>0</v>
      </c>
      <c r="BB30" s="2">
        <f>Q30*Navires!$P$6</f>
        <v>0</v>
      </c>
      <c r="BC30" s="185">
        <f>SUM(AN30:BB30)*Générale!$B$27</f>
        <v>12429.599999999999</v>
      </c>
      <c r="BE30" s="118" t="s">
        <v>45</v>
      </c>
      <c r="BF30" s="118">
        <f>C30*Navires!$B$6</f>
        <v>3422.3999999999996</v>
      </c>
      <c r="BG30" s="118">
        <f>D30*Navires!$B$6</f>
        <v>7415.2</v>
      </c>
      <c r="BH30" s="118">
        <f>E30*Navires!$B$6</f>
        <v>0</v>
      </c>
      <c r="BI30" s="118">
        <f>F30*Navires!$B$6</f>
        <v>1140.8</v>
      </c>
      <c r="BJ30" s="118">
        <f>G30*Navires!$B$6</f>
        <v>3992.7999999999997</v>
      </c>
      <c r="BK30" s="118">
        <f>H30*Navires!$B$6</f>
        <v>5704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36847.839999999997</v>
      </c>
    </row>
    <row r="31" spans="1:73" x14ac:dyDescent="0.25">
      <c r="A31" t="s">
        <v>58</v>
      </c>
      <c r="B31" s="2" t="s">
        <v>46</v>
      </c>
      <c r="C31" s="2">
        <v>17</v>
      </c>
      <c r="D31" s="2">
        <v>0</v>
      </c>
      <c r="E31" s="2">
        <v>0</v>
      </c>
      <c r="F31" s="2">
        <v>0</v>
      </c>
      <c r="G31" s="2">
        <v>2</v>
      </c>
      <c r="H31" s="2">
        <v>13</v>
      </c>
      <c r="I31" s="2"/>
      <c r="J31" s="2"/>
      <c r="K31" s="2"/>
      <c r="L31" s="2"/>
      <c r="M31" s="2"/>
      <c r="N31" s="2"/>
      <c r="O31" s="2"/>
      <c r="P31" s="2"/>
      <c r="Q31" s="32"/>
      <c r="R31" s="34">
        <f t="shared" si="32"/>
        <v>32</v>
      </c>
      <c r="S31" s="82">
        <f t="shared" si="33"/>
        <v>7.4766355140186915</v>
      </c>
      <c r="U31" s="2" t="s">
        <v>46</v>
      </c>
      <c r="V31" s="2">
        <f>C31*Navires!$B$2</f>
        <v>33235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3792</v>
      </c>
      <c r="AA31" s="2">
        <f>H31*Navires!$G$2</f>
        <v>26000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63027</v>
      </c>
      <c r="AM31" s="2" t="s">
        <v>46</v>
      </c>
      <c r="AN31" s="2">
        <f>C31*Navires!$B$6</f>
        <v>9696.7999999999993</v>
      </c>
      <c r="AO31" s="2">
        <f>D31*Navires!$C$6</f>
        <v>0</v>
      </c>
      <c r="AP31" s="2">
        <f>E31*Navires!$D$6</f>
        <v>0</v>
      </c>
      <c r="AQ31" s="2">
        <f>F31*Navires!$E$6</f>
        <v>0</v>
      </c>
      <c r="AR31" s="2">
        <f>G31*Navires!$F$6</f>
        <v>1361.6000000000001</v>
      </c>
      <c r="AS31" s="2">
        <f>H31*Navires!$G$6</f>
        <v>8840</v>
      </c>
      <c r="AT31" s="2">
        <f>I31*Navires!$H$6</f>
        <v>0</v>
      </c>
      <c r="AU31" s="2">
        <f>J31*Navires!$I$6</f>
        <v>0</v>
      </c>
      <c r="AV31" s="2">
        <f>K31*Navires!$J$6</f>
        <v>0</v>
      </c>
      <c r="AW31" s="2">
        <f>L31*Navires!$K$6</f>
        <v>0</v>
      </c>
      <c r="AX31" s="2">
        <f>M31*Navires!$L$6</f>
        <v>0</v>
      </c>
      <c r="AY31" s="2">
        <f>N31*Navires!$M$6</f>
        <v>0</v>
      </c>
      <c r="AZ31" s="2">
        <f>O31*Navires!$N$6</f>
        <v>0</v>
      </c>
      <c r="BA31" s="2">
        <f>P31*Navires!$O$6</f>
        <v>0</v>
      </c>
      <c r="BB31" s="2">
        <f>Q31*Navires!$P$6</f>
        <v>0</v>
      </c>
      <c r="BC31" s="185">
        <f>SUM(AN31:BB31)*Générale!$B$27</f>
        <v>9949.2000000000007</v>
      </c>
      <c r="BE31" s="118" t="s">
        <v>46</v>
      </c>
      <c r="BF31" s="118">
        <f>C31*Navires!$B$6</f>
        <v>9696.7999999999993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1140.8</v>
      </c>
      <c r="BK31" s="118">
        <f>H31*Navires!$B$6</f>
        <v>7415.2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12776.96</v>
      </c>
    </row>
    <row r="32" spans="1:73" x14ac:dyDescent="0.25">
      <c r="A32" t="s">
        <v>59</v>
      </c>
      <c r="B32" s="2" t="s">
        <v>47</v>
      </c>
      <c r="C32" s="2">
        <v>7</v>
      </c>
      <c r="D32" s="2">
        <v>0</v>
      </c>
      <c r="E32" s="2">
        <v>7</v>
      </c>
      <c r="F32" s="2">
        <v>1</v>
      </c>
      <c r="G32" s="2">
        <v>9</v>
      </c>
      <c r="H32" s="2">
        <v>8</v>
      </c>
      <c r="I32" s="2"/>
      <c r="J32" s="2"/>
      <c r="K32" s="2"/>
      <c r="L32" s="2"/>
      <c r="M32" s="2"/>
      <c r="N32" s="2"/>
      <c r="O32" s="2"/>
      <c r="P32" s="2"/>
      <c r="Q32" s="32"/>
      <c r="R32" s="34">
        <f t="shared" si="32"/>
        <v>32</v>
      </c>
      <c r="S32" s="82">
        <f t="shared" si="33"/>
        <v>7.2234762979683982</v>
      </c>
      <c r="U32" s="2" t="s">
        <v>47</v>
      </c>
      <c r="V32" s="2">
        <f>C32*Navires!$B$2</f>
        <v>13685</v>
      </c>
      <c r="W32" s="2">
        <f>D32*Navires!$C$2</f>
        <v>0</v>
      </c>
      <c r="X32" s="2">
        <f>E32*Navires!$D$2</f>
        <v>14742</v>
      </c>
      <c r="Y32" s="2">
        <f>F32*Navires!$E$2</f>
        <v>1880</v>
      </c>
      <c r="Z32" s="2">
        <f>G32*Navires!$F$2</f>
        <v>17064</v>
      </c>
      <c r="AA32" s="2">
        <f>H32*Navires!$G$2</f>
        <v>16000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63371</v>
      </c>
      <c r="AM32" s="2" t="s">
        <v>47</v>
      </c>
      <c r="AN32" s="2">
        <f>C32*Navires!$B$6</f>
        <v>3992.7999999999997</v>
      </c>
      <c r="AO32" s="2">
        <f>D32*Navires!$C$6</f>
        <v>0</v>
      </c>
      <c r="AP32" s="2">
        <f>E32*Navires!$D$6</f>
        <v>5600</v>
      </c>
      <c r="AQ32" s="2">
        <f>F32*Navires!$E$6</f>
        <v>1228</v>
      </c>
      <c r="AR32" s="2">
        <f>G32*Navires!$F$6</f>
        <v>6127.2000000000007</v>
      </c>
      <c r="AS32" s="2">
        <f>H32*Navires!$G$6</f>
        <v>5440</v>
      </c>
      <c r="AT32" s="2">
        <f>I32*Navires!$H$6</f>
        <v>0</v>
      </c>
      <c r="AU32" s="2">
        <f>J32*Navires!$I$6</f>
        <v>0</v>
      </c>
      <c r="AV32" s="2">
        <f>K32*Navires!$J$6</f>
        <v>0</v>
      </c>
      <c r="AW32" s="2">
        <f>L32*Navires!$K$6</f>
        <v>0</v>
      </c>
      <c r="AX32" s="2">
        <f>M32*Navires!$L$6</f>
        <v>0</v>
      </c>
      <c r="AY32" s="2">
        <f>N32*Navires!$M$6</f>
        <v>0</v>
      </c>
      <c r="AZ32" s="2">
        <f>O32*Navires!$N$6</f>
        <v>0</v>
      </c>
      <c r="BA32" s="2">
        <f>P32*Navires!$O$6</f>
        <v>0</v>
      </c>
      <c r="BB32" s="2">
        <f>Q32*Navires!$P$6</f>
        <v>0</v>
      </c>
      <c r="BC32" s="185">
        <f>SUM(AN32:BB32)*Générale!$B$27</f>
        <v>11194</v>
      </c>
      <c r="BE32" s="118" t="s">
        <v>47</v>
      </c>
      <c r="BF32" s="118">
        <f>C32*Navires!$B$6</f>
        <v>3992.7999999999997</v>
      </c>
      <c r="BG32" s="118">
        <f>D32*Navires!$B$6</f>
        <v>0</v>
      </c>
      <c r="BH32" s="118">
        <f>E32*Navires!$B$6</f>
        <v>3992.7999999999997</v>
      </c>
      <c r="BI32" s="118">
        <f>F32*Navires!$B$6</f>
        <v>570.4</v>
      </c>
      <c r="BJ32" s="118">
        <f>G32*Navires!$B$6</f>
        <v>5133.5999999999995</v>
      </c>
      <c r="BK32" s="118">
        <f>H32*Navires!$B$6</f>
        <v>4563.2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12776.96</v>
      </c>
    </row>
    <row r="33" spans="1:73" x14ac:dyDescent="0.25">
      <c r="A33" s="30"/>
      <c r="B33" s="34" t="s">
        <v>60</v>
      </c>
      <c r="C33" s="34">
        <f>SUM(C21:C32)</f>
        <v>84</v>
      </c>
      <c r="D33" s="34">
        <f t="shared" ref="D33" si="34">SUM(D21:D32)</f>
        <v>95</v>
      </c>
      <c r="E33" s="34">
        <f t="shared" ref="E33" si="35">SUM(E21:E32)</f>
        <v>71</v>
      </c>
      <c r="F33" s="34">
        <f>SUM(F21:F32)</f>
        <v>73</v>
      </c>
      <c r="G33" s="34">
        <f>SUM(G21:G32)</f>
        <v>75</v>
      </c>
      <c r="H33" s="34">
        <f t="shared" ref="H33" si="36">SUM(H21:H32)</f>
        <v>125</v>
      </c>
      <c r="I33" s="34">
        <f t="shared" ref="I33" si="37">SUM(I21:I32)</f>
        <v>0</v>
      </c>
      <c r="J33" s="34">
        <f t="shared" ref="J33" si="38">SUM(J21:J32)</f>
        <v>0</v>
      </c>
      <c r="K33" s="34">
        <f t="shared" ref="K33" si="39">SUM(K21:K32)</f>
        <v>0</v>
      </c>
      <c r="L33" s="34">
        <f t="shared" ref="L33" si="40">SUM(L21:L32)</f>
        <v>0</v>
      </c>
      <c r="M33" s="34">
        <f t="shared" ref="M33" si="41">SUM(M21:M32)</f>
        <v>0</v>
      </c>
      <c r="N33" s="34">
        <f t="shared" ref="N33" si="42">SUM(N21:N32)</f>
        <v>0</v>
      </c>
      <c r="O33" s="34">
        <f t="shared" ref="O33" si="43">SUM(O21:O32)</f>
        <v>0</v>
      </c>
      <c r="P33" s="34">
        <f t="shared" ref="P33" si="44">SUM(P21:P32)</f>
        <v>3</v>
      </c>
      <c r="Q33" s="34">
        <f t="shared" ref="Q33" si="45">SUM(Q21:Q32)</f>
        <v>0</v>
      </c>
      <c r="R33" s="34">
        <f t="shared" si="32"/>
        <v>526</v>
      </c>
      <c r="S33" s="82">
        <f t="shared" si="33"/>
        <v>10.090159217341261</v>
      </c>
      <c r="U33" s="34" t="s">
        <v>60</v>
      </c>
      <c r="V33" s="34">
        <f>SUM(V21:V32)</f>
        <v>164220</v>
      </c>
      <c r="W33" s="34">
        <f t="shared" ref="W33" si="46">SUM(W21:W32)</f>
        <v>185725</v>
      </c>
      <c r="X33" s="34">
        <f t="shared" ref="X33" si="47">SUM(X21:X32)</f>
        <v>149526</v>
      </c>
      <c r="Y33" s="34">
        <f t="shared" ref="Y33" si="48">SUM(Y21:Y32)</f>
        <v>137240</v>
      </c>
      <c r="Z33" s="34">
        <f t="shared" ref="Z33" si="49">SUM(Z21:Z32)</f>
        <v>142200</v>
      </c>
      <c r="AA33" s="34">
        <f t="shared" ref="AA33" si="50">SUM(AA21:AA32)</f>
        <v>250000</v>
      </c>
      <c r="AB33" s="34">
        <f t="shared" ref="AB33" si="51">SUM(AB21:AB32)</f>
        <v>0</v>
      </c>
      <c r="AC33" s="34">
        <f t="shared" ref="AC33" si="52">SUM(AC21:AC32)</f>
        <v>0</v>
      </c>
      <c r="AD33" s="34">
        <f t="shared" ref="AD33" si="53">SUM(AD21:AD32)</f>
        <v>0</v>
      </c>
      <c r="AE33" s="34">
        <f t="shared" ref="AE33" si="54">SUM(AE21:AE32)</f>
        <v>0</v>
      </c>
      <c r="AF33" s="34">
        <f t="shared" ref="AF33" si="55">SUM(AF21:AF32)</f>
        <v>0</v>
      </c>
      <c r="AG33" s="34">
        <f t="shared" ref="AG33" si="56">SUM(AG21:AG32)</f>
        <v>0</v>
      </c>
      <c r="AH33" s="34">
        <f t="shared" ref="AH33" si="57">SUM(AH21:AH32)</f>
        <v>0</v>
      </c>
      <c r="AI33" s="34">
        <f t="shared" ref="AI33" si="58">SUM(AI21:AI32)</f>
        <v>4500</v>
      </c>
      <c r="AJ33" s="34">
        <f t="shared" ref="AJ33" si="59">SUM(AJ21:AJ32)</f>
        <v>0</v>
      </c>
      <c r="AK33" s="36"/>
      <c r="AM33" s="34" t="s">
        <v>60</v>
      </c>
      <c r="AN33" s="34">
        <f>SUM(AN21:AN32)</f>
        <v>47913.600000000006</v>
      </c>
      <c r="AO33" s="34">
        <f t="shared" ref="AO33" si="60">SUM(AO21:AO32)</f>
        <v>54188</v>
      </c>
      <c r="AP33" s="34">
        <f t="shared" ref="AP33" si="61">SUM(AP21:AP32)</f>
        <v>56800</v>
      </c>
      <c r="AQ33" s="34">
        <f t="shared" ref="AQ33" si="62">SUM(AQ21:AQ32)</f>
        <v>89644</v>
      </c>
      <c r="AR33" s="34">
        <f t="shared" ref="AR33" si="63">SUM(AR21:AR32)</f>
        <v>51060</v>
      </c>
      <c r="AS33" s="34">
        <f t="shared" ref="AS33" si="64">SUM(AS21:AS32)</f>
        <v>85000</v>
      </c>
      <c r="AT33" s="34">
        <f t="shared" ref="AT33" si="65">SUM(AT21:AT32)</f>
        <v>0</v>
      </c>
      <c r="AU33" s="34">
        <f t="shared" ref="AU33" si="66">SUM(AU21:AU32)</f>
        <v>0</v>
      </c>
      <c r="AV33" s="34">
        <f t="shared" ref="AV33" si="67">SUM(AV21:AV32)</f>
        <v>0</v>
      </c>
      <c r="AW33" s="34">
        <f t="shared" ref="AW33" si="68">SUM(AW21:AW32)</f>
        <v>0</v>
      </c>
      <c r="AX33" s="34">
        <f t="shared" ref="AX33" si="69">SUM(AX21:AX32)</f>
        <v>0</v>
      </c>
      <c r="AY33" s="34">
        <f t="shared" ref="AY33" si="70">SUM(AY21:AY32)</f>
        <v>0</v>
      </c>
      <c r="AZ33" s="34">
        <f t="shared" ref="AZ33" si="71">SUM(AZ21:AZ32)</f>
        <v>0</v>
      </c>
      <c r="BA33" s="34">
        <f t="shared" ref="BA33" si="72">SUM(BA21:BA32)</f>
        <v>1920</v>
      </c>
      <c r="BB33" s="34">
        <f t="shared" ref="BB33" si="73">SUM(BB21:BB32)</f>
        <v>0</v>
      </c>
      <c r="BC33" s="2"/>
      <c r="BE33" s="34" t="s">
        <v>60</v>
      </c>
      <c r="BF33" s="118">
        <f>C33*Navires!$B$6</f>
        <v>47913.599999999999</v>
      </c>
      <c r="BG33" s="118">
        <f>D33*Navires!$B$6</f>
        <v>54188</v>
      </c>
      <c r="BH33" s="118">
        <f>E33*Navires!$B$6</f>
        <v>40498.400000000001</v>
      </c>
      <c r="BI33" s="118">
        <f>F33*Navires!$B$6</f>
        <v>41639.199999999997</v>
      </c>
      <c r="BJ33" s="118">
        <f>G33*Navires!$B$6</f>
        <v>42780</v>
      </c>
      <c r="BK33" s="118">
        <f>H33*Navires!$B$6</f>
        <v>71300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1711.1999999999998</v>
      </c>
      <c r="BT33" s="118">
        <f>Q33*Navires!$B$6</f>
        <v>0</v>
      </c>
      <c r="BU33" s="118"/>
    </row>
    <row r="35" spans="1:73" x14ac:dyDescent="0.25">
      <c r="Q35" t="s">
        <v>98</v>
      </c>
      <c r="R35" t="s">
        <v>99</v>
      </c>
    </row>
    <row r="36" spans="1:73" x14ac:dyDescent="0.25">
      <c r="Q36" t="s">
        <v>36</v>
      </c>
      <c r="R36">
        <v>4.43</v>
      </c>
    </row>
    <row r="37" spans="1:73" x14ac:dyDescent="0.25">
      <c r="Q37" s="79" t="s">
        <v>37</v>
      </c>
      <c r="R37">
        <v>4</v>
      </c>
    </row>
    <row r="38" spans="1:73" x14ac:dyDescent="0.25">
      <c r="Q38" s="79" t="s">
        <v>38</v>
      </c>
      <c r="R38">
        <v>4.43</v>
      </c>
    </row>
    <row r="39" spans="1:73" x14ac:dyDescent="0.25">
      <c r="Q39" s="79" t="s">
        <v>39</v>
      </c>
      <c r="R39">
        <v>4.28</v>
      </c>
    </row>
    <row r="40" spans="1:73" x14ac:dyDescent="0.25">
      <c r="Q40" s="79" t="s">
        <v>40</v>
      </c>
      <c r="R40">
        <v>4.43</v>
      </c>
    </row>
    <row r="41" spans="1:73" x14ac:dyDescent="0.25">
      <c r="Q41" s="79" t="s">
        <v>41</v>
      </c>
      <c r="R41">
        <v>4.28</v>
      </c>
    </row>
    <row r="42" spans="1:73" x14ac:dyDescent="0.25">
      <c r="Q42" s="79" t="s">
        <v>42</v>
      </c>
      <c r="R42">
        <v>4.43</v>
      </c>
    </row>
    <row r="43" spans="1:73" x14ac:dyDescent="0.25">
      <c r="Q43" s="79" t="s">
        <v>43</v>
      </c>
      <c r="R43">
        <v>4.43</v>
      </c>
    </row>
    <row r="44" spans="1:73" x14ac:dyDescent="0.25">
      <c r="Q44" s="79" t="s">
        <v>44</v>
      </c>
      <c r="R44">
        <v>4.28</v>
      </c>
    </row>
    <row r="45" spans="1:73" x14ac:dyDescent="0.25">
      <c r="Q45" s="79" t="s">
        <v>45</v>
      </c>
      <c r="R45">
        <v>4.43</v>
      </c>
    </row>
    <row r="46" spans="1:73" x14ac:dyDescent="0.25">
      <c r="Q46" s="79" t="s">
        <v>46</v>
      </c>
      <c r="R46">
        <v>4.28</v>
      </c>
    </row>
    <row r="47" spans="1:73" x14ac:dyDescent="0.25">
      <c r="Q47" s="79" t="s">
        <v>47</v>
      </c>
      <c r="R47">
        <v>4.43</v>
      </c>
    </row>
    <row r="48" spans="1:73" x14ac:dyDescent="0.25">
      <c r="Q48" t="s">
        <v>101</v>
      </c>
      <c r="R48" s="79">
        <f>SUM(R36:R47)</f>
        <v>52.13</v>
      </c>
    </row>
  </sheetData>
  <mergeCells count="8">
    <mergeCell ref="BF1:BT2"/>
    <mergeCell ref="BE18:BU19"/>
    <mergeCell ref="U18:AK19"/>
    <mergeCell ref="AM18:BC19"/>
    <mergeCell ref="C1:Q2"/>
    <mergeCell ref="C18:Q19"/>
    <mergeCell ref="V1:AJ2"/>
    <mergeCell ref="AN1:BB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G13" workbookViewId="0">
      <selection activeCell="BU13" sqref="BU1:BU1048576"/>
    </sheetView>
  </sheetViews>
  <sheetFormatPr baseColWidth="10" defaultRowHeight="15" x14ac:dyDescent="0.25"/>
  <cols>
    <col min="1" max="1" width="7" customWidth="1"/>
    <col min="2" max="2" width="12.28515625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0</v>
      </c>
      <c r="D4" s="2">
        <v>12</v>
      </c>
      <c r="E4" s="2">
        <v>7</v>
      </c>
      <c r="F4" s="2">
        <v>0</v>
      </c>
      <c r="G4" s="2">
        <v>10</v>
      </c>
      <c r="H4" s="2">
        <v>5</v>
      </c>
      <c r="I4" s="2"/>
      <c r="J4" s="2"/>
      <c r="K4" s="2"/>
      <c r="L4" s="2"/>
      <c r="M4" s="2"/>
      <c r="N4" s="2"/>
      <c r="O4" s="2"/>
      <c r="P4" s="2">
        <v>3</v>
      </c>
      <c r="Q4" s="32"/>
      <c r="R4" s="34">
        <f>SUM(C4:Q4)</f>
        <v>37</v>
      </c>
      <c r="S4" s="82">
        <f>R4/R36</f>
        <v>8.3521444695259603</v>
      </c>
      <c r="U4" s="2" t="s">
        <v>36</v>
      </c>
      <c r="V4" s="2">
        <f>C4*Navires!$B$2</f>
        <v>0</v>
      </c>
      <c r="W4" s="2">
        <f>D4*Navires!$C$2</f>
        <v>23460</v>
      </c>
      <c r="X4" s="2">
        <f>E4*Navires!$D$2</f>
        <v>14742</v>
      </c>
      <c r="Y4" s="2">
        <f>F4*Navires!$E$2</f>
        <v>0</v>
      </c>
      <c r="Z4" s="2">
        <f>G4*Navires!$F$2</f>
        <v>18960</v>
      </c>
      <c r="AA4" s="2">
        <f>H4*Navires!$G$2</f>
        <v>10000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4500</v>
      </c>
      <c r="AJ4" s="2">
        <f>Q4*Navires!$P$2</f>
        <v>0</v>
      </c>
      <c r="AK4" s="35">
        <f>(SUM(V4:AJ4))*Générale!$B7</f>
        <v>71662</v>
      </c>
      <c r="AM4" s="118" t="s">
        <v>36</v>
      </c>
      <c r="AN4" s="118">
        <f>C4*Navires!$B$6</f>
        <v>0</v>
      </c>
      <c r="AO4" s="118">
        <f>D4*Navires!$C$6</f>
        <v>6844.7999999999993</v>
      </c>
      <c r="AP4" s="118">
        <f>E4*Navires!$D$6</f>
        <v>5600</v>
      </c>
      <c r="AQ4" s="118">
        <f>F4*Navires!$E$6</f>
        <v>0</v>
      </c>
      <c r="AR4" s="118">
        <f>G4*Navires!$F$6</f>
        <v>6808.0000000000009</v>
      </c>
      <c r="AS4" s="118">
        <f>H4*Navires!$G$6</f>
        <v>3400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1920</v>
      </c>
      <c r="BB4" s="118">
        <f>Q4*Navires!$P$6</f>
        <v>0</v>
      </c>
      <c r="BC4" s="185">
        <f>SUM(AN4:BB4)*Générale!$B$27</f>
        <v>12286.4</v>
      </c>
      <c r="BE4" s="118" t="s">
        <v>36</v>
      </c>
      <c r="BF4" s="118">
        <f>C4*Navires!$B$6</f>
        <v>0</v>
      </c>
      <c r="BG4" s="118">
        <f>D4*Navires!$B$6</f>
        <v>6844.7999999999993</v>
      </c>
      <c r="BH4" s="118">
        <f>E4*Navires!$B$6</f>
        <v>3992.7999999999997</v>
      </c>
      <c r="BI4" s="118">
        <f>F4*Navires!$B$6</f>
        <v>0</v>
      </c>
      <c r="BJ4" s="118">
        <f>G4*Navires!$B$6</f>
        <v>5704</v>
      </c>
      <c r="BK4" s="118">
        <f>H4*Navires!$B$6</f>
        <v>2852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1711.1999999999998</v>
      </c>
      <c r="BT4" s="118">
        <f>Q4*Navires!$B$6</f>
        <v>0</v>
      </c>
      <c r="BU4" s="185">
        <f>SUM(BF4:BT4)*Générale!$B$23</f>
        <v>14773.359999999999</v>
      </c>
    </row>
    <row r="5" spans="1:73" x14ac:dyDescent="0.25">
      <c r="A5" t="s">
        <v>49</v>
      </c>
      <c r="B5" s="2" t="s">
        <v>37</v>
      </c>
      <c r="C5" s="2">
        <v>5</v>
      </c>
      <c r="D5" s="2">
        <v>7</v>
      </c>
      <c r="E5">
        <v>0</v>
      </c>
      <c r="F5" s="2">
        <v>11</v>
      </c>
      <c r="G5" s="2">
        <v>5</v>
      </c>
      <c r="H5" s="2">
        <v>3</v>
      </c>
      <c r="I5" s="2"/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31</v>
      </c>
      <c r="S5" s="82">
        <f t="shared" ref="S5:S16" si="1">R5/R37</f>
        <v>7.75</v>
      </c>
      <c r="U5" s="2" t="s">
        <v>37</v>
      </c>
      <c r="V5" s="2">
        <f>C5*Navires!$B$2</f>
        <v>9775</v>
      </c>
      <c r="W5" s="2">
        <f>D5*Navires!$C$2</f>
        <v>13685</v>
      </c>
      <c r="X5" s="2">
        <f>E5*Navires!$D$2</f>
        <v>0</v>
      </c>
      <c r="Y5" s="2">
        <f>F5*Navires!$E$2</f>
        <v>20680</v>
      </c>
      <c r="Z5" s="2">
        <f>G5*Navires!$F$2</f>
        <v>9480</v>
      </c>
      <c r="AA5" s="2">
        <f>H5*Navires!$G$2</f>
        <v>6000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59620</v>
      </c>
      <c r="AM5" s="118" t="s">
        <v>37</v>
      </c>
      <c r="AN5" s="118">
        <f>C5*Navires!$B$6</f>
        <v>2852</v>
      </c>
      <c r="AO5" s="118">
        <f>D5*Navires!$C$6</f>
        <v>3992.7999999999997</v>
      </c>
      <c r="AP5" s="118">
        <f>E5*Navires!$D$6</f>
        <v>0</v>
      </c>
      <c r="AQ5" s="118">
        <f>F5*Navires!$E$6</f>
        <v>13508</v>
      </c>
      <c r="AR5" s="118">
        <f>G5*Navires!$F$6</f>
        <v>3404.0000000000005</v>
      </c>
      <c r="AS5" s="118">
        <f>H5*Navires!$G$6</f>
        <v>2040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12898.4</v>
      </c>
      <c r="BE5" s="118" t="s">
        <v>37</v>
      </c>
      <c r="BF5" s="118">
        <f>C5*Navires!$B$6</f>
        <v>2852</v>
      </c>
      <c r="BG5" s="118">
        <f>D5*Navires!$B$6</f>
        <v>3992.7999999999997</v>
      </c>
      <c r="BH5" s="118">
        <f>E5*Navires!$B$6</f>
        <v>0</v>
      </c>
      <c r="BI5" s="118">
        <f>F5*Navires!$B$6</f>
        <v>6274.4</v>
      </c>
      <c r="BJ5" s="118">
        <f>G5*Navires!$B$6</f>
        <v>2852</v>
      </c>
      <c r="BK5" s="118">
        <f>H5*Navires!$B$6</f>
        <v>1711.1999999999998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12377.679999999998</v>
      </c>
    </row>
    <row r="6" spans="1:73" x14ac:dyDescent="0.25">
      <c r="A6" t="s">
        <v>50</v>
      </c>
      <c r="B6" s="2" t="s">
        <v>38</v>
      </c>
      <c r="C6" s="2">
        <v>4</v>
      </c>
      <c r="D6" s="2">
        <v>5</v>
      </c>
      <c r="E6" s="2">
        <v>5</v>
      </c>
      <c r="F6" s="2">
        <v>13</v>
      </c>
      <c r="G6" s="2">
        <v>1</v>
      </c>
      <c r="H6" s="2">
        <v>4</v>
      </c>
      <c r="I6" s="2"/>
      <c r="J6" s="2"/>
      <c r="K6" s="2"/>
      <c r="L6" s="2"/>
      <c r="M6" s="2"/>
      <c r="N6" s="2"/>
      <c r="O6" s="2"/>
      <c r="P6" s="2">
        <v>1</v>
      </c>
      <c r="Q6" s="32"/>
      <c r="R6" s="34">
        <f t="shared" si="0"/>
        <v>33</v>
      </c>
      <c r="S6" s="82">
        <f t="shared" si="1"/>
        <v>7.4492099322799099</v>
      </c>
      <c r="U6" s="2" t="s">
        <v>38</v>
      </c>
      <c r="V6" s="2">
        <f>C6*Navires!$B$2</f>
        <v>7820</v>
      </c>
      <c r="W6" s="2">
        <f>D6*Navires!$C$2</f>
        <v>9775</v>
      </c>
      <c r="X6" s="2">
        <f>E6*Navires!$D$2</f>
        <v>10530</v>
      </c>
      <c r="Y6" s="2">
        <f>F6*Navires!$E$2</f>
        <v>24440</v>
      </c>
      <c r="Z6" s="2">
        <f>G6*Navires!$F$2</f>
        <v>1896</v>
      </c>
      <c r="AA6" s="2">
        <f>H6*Navires!$G$2</f>
        <v>8000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1500</v>
      </c>
      <c r="AJ6" s="2">
        <f>Q6*Navires!$P$2</f>
        <v>0</v>
      </c>
      <c r="AK6" s="35">
        <f>(SUM(V6:AJ6))*Générale!$B9</f>
        <v>63961</v>
      </c>
      <c r="AM6" s="118" t="s">
        <v>38</v>
      </c>
      <c r="AN6" s="118">
        <f>C6*Navires!$B$6</f>
        <v>2281.6</v>
      </c>
      <c r="AO6" s="118">
        <f>D6*Navires!$C$6</f>
        <v>2852</v>
      </c>
      <c r="AP6" s="118">
        <f>E6*Navires!$D$6</f>
        <v>4000</v>
      </c>
      <c r="AQ6" s="118">
        <f>F6*Navires!$E$6</f>
        <v>15964</v>
      </c>
      <c r="AR6" s="118">
        <f>G6*Navires!$F$6</f>
        <v>680.80000000000007</v>
      </c>
      <c r="AS6" s="118">
        <f>H6*Navires!$G$6</f>
        <v>2720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640</v>
      </c>
      <c r="BB6" s="118">
        <f>Q6*Navires!$P$6</f>
        <v>0</v>
      </c>
      <c r="BC6" s="185">
        <f>SUM(AN6:BB6)*Générale!$B$27</f>
        <v>14569.199999999999</v>
      </c>
      <c r="BE6" s="118" t="s">
        <v>38</v>
      </c>
      <c r="BF6" s="118">
        <f>C6*Navires!$B$6</f>
        <v>2281.6</v>
      </c>
      <c r="BG6" s="118">
        <f>D6*Navires!$B$6</f>
        <v>2852</v>
      </c>
      <c r="BH6" s="118">
        <f>E6*Navires!$B$6</f>
        <v>2852</v>
      </c>
      <c r="BI6" s="118">
        <f>F6*Navires!$B$6</f>
        <v>7415.2</v>
      </c>
      <c r="BJ6" s="118">
        <f>G6*Navires!$B$6</f>
        <v>570.4</v>
      </c>
      <c r="BK6" s="118">
        <f>H6*Navires!$B$6</f>
        <v>2281.6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570.4</v>
      </c>
      <c r="BT6" s="118">
        <f>Q6*Navires!$B$6</f>
        <v>0</v>
      </c>
      <c r="BU6" s="185">
        <f>SUM(BF6:BT6)*Générale!$B$23</f>
        <v>13176.24</v>
      </c>
    </row>
    <row r="7" spans="1:73" x14ac:dyDescent="0.25">
      <c r="A7" t="s">
        <v>51</v>
      </c>
      <c r="B7" s="2" t="s">
        <v>39</v>
      </c>
      <c r="C7" s="2">
        <v>2</v>
      </c>
      <c r="D7" s="2">
        <v>0</v>
      </c>
      <c r="E7" s="2">
        <v>2</v>
      </c>
      <c r="F7" s="2">
        <v>11</v>
      </c>
      <c r="G7" s="2">
        <v>10</v>
      </c>
      <c r="H7" s="2">
        <v>5</v>
      </c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30</v>
      </c>
      <c r="S7" s="82">
        <f t="shared" si="1"/>
        <v>7.009345794392523</v>
      </c>
      <c r="U7" s="2" t="s">
        <v>39</v>
      </c>
      <c r="V7" s="2">
        <f>C7*Navires!$B$2</f>
        <v>3910</v>
      </c>
      <c r="W7" s="2">
        <f>D7*Navires!$C$2</f>
        <v>0</v>
      </c>
      <c r="X7" s="2">
        <f>E7*Navires!$D$2</f>
        <v>4212</v>
      </c>
      <c r="Y7" s="2">
        <f>F7*Navires!$E$2</f>
        <v>20680</v>
      </c>
      <c r="Z7" s="2">
        <f>G7*Navires!$F$2</f>
        <v>18960</v>
      </c>
      <c r="AA7" s="2">
        <f>H7*Navires!$G$2</f>
        <v>10000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57762</v>
      </c>
      <c r="AM7" s="118" t="s">
        <v>39</v>
      </c>
      <c r="AN7" s="118">
        <f>C7*Navires!$B$6</f>
        <v>1140.8</v>
      </c>
      <c r="AO7" s="118">
        <f>D7*Navires!$C$6</f>
        <v>0</v>
      </c>
      <c r="AP7" s="118">
        <f>E7*Navires!$D$6</f>
        <v>1600</v>
      </c>
      <c r="AQ7" s="118">
        <f>F7*Navires!$E$6</f>
        <v>13508</v>
      </c>
      <c r="AR7" s="118">
        <f>G7*Navires!$F$6</f>
        <v>6808.0000000000009</v>
      </c>
      <c r="AS7" s="118">
        <f>H7*Navires!$G$6</f>
        <v>3400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13228.4</v>
      </c>
      <c r="BE7" s="118" t="s">
        <v>39</v>
      </c>
      <c r="BF7" s="118">
        <f>C7*Navires!$B$6</f>
        <v>1140.8</v>
      </c>
      <c r="BG7" s="118">
        <f>D7*Navires!$B$6</f>
        <v>0</v>
      </c>
      <c r="BH7" s="118">
        <f>E7*Navires!$B$6</f>
        <v>1140.8</v>
      </c>
      <c r="BI7" s="118">
        <f>F7*Navires!$B$6</f>
        <v>6274.4</v>
      </c>
      <c r="BJ7" s="118">
        <f>G7*Navires!$B$6</f>
        <v>5704</v>
      </c>
      <c r="BK7" s="118">
        <f>H7*Navires!$B$6</f>
        <v>2852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29090.399999999998</v>
      </c>
    </row>
    <row r="8" spans="1:73" x14ac:dyDescent="0.25">
      <c r="A8" t="s">
        <v>52</v>
      </c>
      <c r="B8" s="2" t="s">
        <v>40</v>
      </c>
      <c r="C8" s="2">
        <v>0</v>
      </c>
      <c r="D8" s="2">
        <v>0</v>
      </c>
      <c r="E8" s="2">
        <v>0</v>
      </c>
      <c r="F8" s="2">
        <v>8</v>
      </c>
      <c r="G8" s="2">
        <v>14</v>
      </c>
      <c r="H8" s="2">
        <v>10</v>
      </c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32</v>
      </c>
      <c r="S8" s="82">
        <f t="shared" si="1"/>
        <v>7.2234762979683982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15040</v>
      </c>
      <c r="Z8" s="2">
        <f>G8*Navires!$F$2</f>
        <v>26544</v>
      </c>
      <c r="AA8" s="2">
        <f>H8*Navires!$G$2</f>
        <v>20000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61584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9824</v>
      </c>
      <c r="AR8" s="118">
        <f>G8*Navires!$F$6</f>
        <v>9531.2000000000007</v>
      </c>
      <c r="AS8" s="118">
        <f>H8*Navires!$G$6</f>
        <v>6800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7846.5599999999995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4563.2</v>
      </c>
      <c r="BJ8" s="118">
        <f>G8*Navires!$B$6</f>
        <v>7985.5999999999995</v>
      </c>
      <c r="BK8" s="118">
        <f>H8*Navires!$B$6</f>
        <v>5704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31029.759999999998</v>
      </c>
    </row>
    <row r="9" spans="1:73" x14ac:dyDescent="0.25">
      <c r="A9" t="s">
        <v>53</v>
      </c>
      <c r="B9" s="2" t="s">
        <v>41</v>
      </c>
      <c r="C9" s="2">
        <v>0</v>
      </c>
      <c r="D9" s="2">
        <v>6</v>
      </c>
      <c r="E9" s="2">
        <v>0</v>
      </c>
      <c r="F9" s="2">
        <v>8</v>
      </c>
      <c r="G9" s="2">
        <v>7</v>
      </c>
      <c r="H9" s="2">
        <v>9</v>
      </c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30</v>
      </c>
      <c r="S9" s="82">
        <f t="shared" si="1"/>
        <v>7.009345794392523</v>
      </c>
      <c r="U9" s="2" t="s">
        <v>41</v>
      </c>
      <c r="V9" s="2">
        <f>C9*Navires!$B$2</f>
        <v>0</v>
      </c>
      <c r="W9" s="2">
        <f>D9*Navires!$C$2</f>
        <v>11730</v>
      </c>
      <c r="X9" s="2">
        <f>E9*Navires!$D$2</f>
        <v>0</v>
      </c>
      <c r="Y9" s="2">
        <f>F9*Navires!$E$2</f>
        <v>15040</v>
      </c>
      <c r="Z9" s="2">
        <f>G9*Navires!$F$2</f>
        <v>13272</v>
      </c>
      <c r="AA9" s="2">
        <f>H9*Navires!$G$2</f>
        <v>18000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58042</v>
      </c>
      <c r="AM9" s="118" t="s">
        <v>41</v>
      </c>
      <c r="AN9" s="118">
        <f>C9*Navires!$B$6</f>
        <v>0</v>
      </c>
      <c r="AO9" s="118">
        <f>D9*Navires!$C$6</f>
        <v>3422.3999999999996</v>
      </c>
      <c r="AP9" s="118">
        <f>E9*Navires!$D$6</f>
        <v>0</v>
      </c>
      <c r="AQ9" s="118">
        <f>F9*Navires!$E$6</f>
        <v>9824</v>
      </c>
      <c r="AR9" s="118">
        <f>G9*Navires!$F$6</f>
        <v>4765.6000000000004</v>
      </c>
      <c r="AS9" s="118">
        <f>H9*Navires!$G$6</f>
        <v>6120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7239.5999999999995</v>
      </c>
      <c r="BE9" s="118" t="s">
        <v>41</v>
      </c>
      <c r="BF9" s="118">
        <f>C9*Navires!$B$6</f>
        <v>0</v>
      </c>
      <c r="BG9" s="118">
        <f>D9*Navires!$B$6</f>
        <v>3422.3999999999996</v>
      </c>
      <c r="BH9" s="118">
        <f>E9*Navires!$B$6</f>
        <v>0</v>
      </c>
      <c r="BI9" s="118">
        <f>F9*Navires!$B$6</f>
        <v>4563.2</v>
      </c>
      <c r="BJ9" s="118">
        <f>G9*Navires!$B$6</f>
        <v>3992.7999999999997</v>
      </c>
      <c r="BK9" s="118">
        <f>H9*Navires!$B$6</f>
        <v>5133.5999999999995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29090.399999999998</v>
      </c>
    </row>
    <row r="10" spans="1:73" x14ac:dyDescent="0.25">
      <c r="A10" t="s">
        <v>54</v>
      </c>
      <c r="B10" s="2" t="s">
        <v>42</v>
      </c>
      <c r="C10" s="2">
        <v>3</v>
      </c>
      <c r="D10" s="2">
        <v>3</v>
      </c>
      <c r="E10" s="2">
        <v>0</v>
      </c>
      <c r="F10" s="2">
        <v>11</v>
      </c>
      <c r="G10" s="2">
        <v>11</v>
      </c>
      <c r="H10" s="2">
        <v>4</v>
      </c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32</v>
      </c>
      <c r="S10" s="82">
        <f t="shared" si="1"/>
        <v>7.2234762979683982</v>
      </c>
      <c r="U10" s="2" t="s">
        <v>42</v>
      </c>
      <c r="V10" s="2">
        <f>C10*Navires!$B$2</f>
        <v>5865</v>
      </c>
      <c r="W10" s="2">
        <f>D10*Navires!$C$2</f>
        <v>5865</v>
      </c>
      <c r="X10" s="2">
        <f>E10*Navires!$D$2</f>
        <v>0</v>
      </c>
      <c r="Y10" s="2">
        <f>F10*Navires!$E$2</f>
        <v>20680</v>
      </c>
      <c r="Z10" s="2">
        <f>G10*Navires!$F$2</f>
        <v>20856</v>
      </c>
      <c r="AA10" s="2">
        <f>H10*Navires!$G$2</f>
        <v>8000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61266</v>
      </c>
      <c r="AM10" s="118" t="s">
        <v>42</v>
      </c>
      <c r="AN10" s="118">
        <f>C10*Navires!$B$6</f>
        <v>1711.1999999999998</v>
      </c>
      <c r="AO10" s="118">
        <f>D10*Navires!$C$6</f>
        <v>1711.1999999999998</v>
      </c>
      <c r="AP10" s="118">
        <f>E10*Navires!$D$6</f>
        <v>0</v>
      </c>
      <c r="AQ10" s="118">
        <f>F10*Navires!$E$6</f>
        <v>13508</v>
      </c>
      <c r="AR10" s="118">
        <f>G10*Navires!$F$6</f>
        <v>7488.8000000000011</v>
      </c>
      <c r="AS10" s="118">
        <f>H10*Navires!$G$6</f>
        <v>2720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8141.7600000000011</v>
      </c>
      <c r="BE10" s="118" t="s">
        <v>42</v>
      </c>
      <c r="BF10" s="118">
        <f>C10*Navires!$B$6</f>
        <v>1711.1999999999998</v>
      </c>
      <c r="BG10" s="118">
        <f>D10*Navires!$B$6</f>
        <v>1711.1999999999998</v>
      </c>
      <c r="BH10" s="118">
        <f>E10*Navires!$B$6</f>
        <v>0</v>
      </c>
      <c r="BI10" s="118">
        <f>F10*Navires!$B$6</f>
        <v>6274.4</v>
      </c>
      <c r="BJ10" s="118">
        <f>G10*Navires!$B$6</f>
        <v>6274.4</v>
      </c>
      <c r="BK10" s="118">
        <f>H10*Navires!$B$6</f>
        <v>2281.6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31029.759999999998</v>
      </c>
    </row>
    <row r="11" spans="1:73" x14ac:dyDescent="0.25">
      <c r="A11" t="s">
        <v>55</v>
      </c>
      <c r="B11" s="2" t="s">
        <v>43</v>
      </c>
      <c r="C11" s="2">
        <v>2</v>
      </c>
      <c r="D11" s="2">
        <v>1</v>
      </c>
      <c r="E11" s="2">
        <v>0</v>
      </c>
      <c r="F11" s="2">
        <v>11</v>
      </c>
      <c r="G11" s="2">
        <v>12</v>
      </c>
      <c r="H11" s="2">
        <v>5</v>
      </c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31</v>
      </c>
      <c r="S11" s="82">
        <f t="shared" si="1"/>
        <v>6.9977426636568856</v>
      </c>
      <c r="U11" s="2" t="s">
        <v>43</v>
      </c>
      <c r="V11" s="2">
        <f>C11*Navires!$B$2</f>
        <v>3910</v>
      </c>
      <c r="W11" s="2">
        <f>D11*Navires!$C$2</f>
        <v>1955</v>
      </c>
      <c r="X11" s="2">
        <f>E11*Navires!$D$2</f>
        <v>0</v>
      </c>
      <c r="Y11" s="2">
        <f>F11*Navires!$E$2</f>
        <v>20680</v>
      </c>
      <c r="Z11" s="2">
        <f>G11*Navires!$F$2</f>
        <v>22752</v>
      </c>
      <c r="AA11" s="2">
        <f>H11*Navires!$G$2</f>
        <v>10000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59297</v>
      </c>
      <c r="AM11" s="118" t="s">
        <v>43</v>
      </c>
      <c r="AN11" s="118">
        <f>C11*Navires!$B$6</f>
        <v>1140.8</v>
      </c>
      <c r="AO11" s="118">
        <f>D11*Navires!$C$6</f>
        <v>570.4</v>
      </c>
      <c r="AP11" s="118">
        <f>E11*Navires!$D$6</f>
        <v>0</v>
      </c>
      <c r="AQ11" s="118">
        <f>F11*Navires!$E$6</f>
        <v>13508</v>
      </c>
      <c r="AR11" s="118">
        <f>G11*Navires!$F$6</f>
        <v>8169.6</v>
      </c>
      <c r="AS11" s="118">
        <f>H11*Navires!$G$6</f>
        <v>3400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8036.64</v>
      </c>
      <c r="BE11" s="118" t="s">
        <v>43</v>
      </c>
      <c r="BF11" s="118">
        <f>C11*Navires!$B$6</f>
        <v>1140.8</v>
      </c>
      <c r="BG11" s="118">
        <f>D11*Navires!$B$6</f>
        <v>570.4</v>
      </c>
      <c r="BH11" s="118">
        <f>E11*Navires!$B$6</f>
        <v>0</v>
      </c>
      <c r="BI11" s="118">
        <f>F11*Navires!$B$6</f>
        <v>6274.4</v>
      </c>
      <c r="BJ11" s="118">
        <f>G11*Navires!$B$6</f>
        <v>6844.7999999999993</v>
      </c>
      <c r="BK11" s="118">
        <f>H11*Navires!$B$6</f>
        <v>2852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30060.079999999994</v>
      </c>
    </row>
    <row r="12" spans="1:73" x14ac:dyDescent="0.25">
      <c r="A12" t="s">
        <v>56</v>
      </c>
      <c r="B12" s="2" t="s">
        <v>44</v>
      </c>
      <c r="C12" s="2">
        <v>1</v>
      </c>
      <c r="D12" s="2">
        <v>2</v>
      </c>
      <c r="E12" s="2">
        <v>0</v>
      </c>
      <c r="F12" s="2">
        <v>9</v>
      </c>
      <c r="G12" s="2">
        <v>12</v>
      </c>
      <c r="H12" s="2">
        <v>6</v>
      </c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30</v>
      </c>
      <c r="S12" s="82">
        <f t="shared" si="1"/>
        <v>7.009345794392523</v>
      </c>
      <c r="U12" s="2" t="s">
        <v>44</v>
      </c>
      <c r="V12" s="2">
        <f>C12*Navires!$B$2</f>
        <v>1955</v>
      </c>
      <c r="W12" s="2">
        <f>D12*Navires!$C$2</f>
        <v>3910</v>
      </c>
      <c r="X12" s="2">
        <f>E12*Navires!$D$2</f>
        <v>0</v>
      </c>
      <c r="Y12" s="2">
        <f>F12*Navires!$E$2</f>
        <v>16920</v>
      </c>
      <c r="Z12" s="2">
        <f>G12*Navires!$F$2</f>
        <v>22752</v>
      </c>
      <c r="AA12" s="2">
        <f>H12*Navires!$G$2</f>
        <v>12000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57537</v>
      </c>
      <c r="AM12" s="118" t="s">
        <v>44</v>
      </c>
      <c r="AN12" s="118">
        <f>C12*Navires!$B$6</f>
        <v>570.4</v>
      </c>
      <c r="AO12" s="118">
        <f>D12*Navires!$C$6</f>
        <v>1140.8</v>
      </c>
      <c r="AP12" s="118">
        <f>E12*Navires!$D$6</f>
        <v>0</v>
      </c>
      <c r="AQ12" s="118">
        <f>F12*Navires!$E$6</f>
        <v>11052</v>
      </c>
      <c r="AR12" s="118">
        <f>G12*Navires!$F$6</f>
        <v>8169.6</v>
      </c>
      <c r="AS12" s="118">
        <f>H12*Navires!$G$6</f>
        <v>4080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7503.84</v>
      </c>
      <c r="BE12" s="118" t="s">
        <v>44</v>
      </c>
      <c r="BF12" s="118">
        <f>C12*Navires!$B$6</f>
        <v>570.4</v>
      </c>
      <c r="BG12" s="118">
        <f>D12*Navires!$B$6</f>
        <v>1140.8</v>
      </c>
      <c r="BH12" s="118">
        <f>E12*Navires!$B$6</f>
        <v>0</v>
      </c>
      <c r="BI12" s="118">
        <f>F12*Navires!$B$6</f>
        <v>5133.5999999999995</v>
      </c>
      <c r="BJ12" s="118">
        <f>G12*Navires!$B$6</f>
        <v>6844.7999999999993</v>
      </c>
      <c r="BK12" s="118">
        <f>H12*Navires!$B$6</f>
        <v>3422.3999999999996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29090.399999999998</v>
      </c>
    </row>
    <row r="13" spans="1:73" x14ac:dyDescent="0.25">
      <c r="A13" t="s">
        <v>57</v>
      </c>
      <c r="B13" s="2" t="s">
        <v>45</v>
      </c>
      <c r="C13" s="2">
        <v>3</v>
      </c>
      <c r="D13" s="2">
        <v>3</v>
      </c>
      <c r="E13" s="2">
        <v>0</v>
      </c>
      <c r="F13" s="2">
        <v>7</v>
      </c>
      <c r="G13" s="2">
        <v>11</v>
      </c>
      <c r="H13" s="2">
        <v>7</v>
      </c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31</v>
      </c>
      <c r="S13" s="82">
        <f t="shared" si="1"/>
        <v>6.9977426636568856</v>
      </c>
      <c r="U13" s="2" t="s">
        <v>45</v>
      </c>
      <c r="V13" s="2">
        <f>C13*Navires!$B$2</f>
        <v>5865</v>
      </c>
      <c r="W13" s="2">
        <f>D13*Navires!$C$2</f>
        <v>5865</v>
      </c>
      <c r="X13" s="2">
        <f>E13*Navires!$D$2</f>
        <v>0</v>
      </c>
      <c r="Y13" s="2">
        <f>F13*Navires!$E$2</f>
        <v>13160</v>
      </c>
      <c r="Z13" s="2">
        <f>G13*Navires!$F$2</f>
        <v>20856</v>
      </c>
      <c r="AA13" s="2">
        <f>H13*Navires!$G$2</f>
        <v>14000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59746</v>
      </c>
      <c r="AM13" s="118" t="s">
        <v>45</v>
      </c>
      <c r="AN13" s="118">
        <f>C13*Navires!$B$6</f>
        <v>1711.1999999999998</v>
      </c>
      <c r="AO13" s="118">
        <f>D13*Navires!$C$6</f>
        <v>1711.1999999999998</v>
      </c>
      <c r="AP13" s="118">
        <f>E13*Navires!$D$6</f>
        <v>0</v>
      </c>
      <c r="AQ13" s="118">
        <f>F13*Navires!$E$6</f>
        <v>8596</v>
      </c>
      <c r="AR13" s="118">
        <f>G13*Navires!$F$6</f>
        <v>7488.8000000000011</v>
      </c>
      <c r="AS13" s="118">
        <f>H13*Navires!$G$6</f>
        <v>4760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12133.6</v>
      </c>
      <c r="BE13" s="118" t="s">
        <v>45</v>
      </c>
      <c r="BF13" s="118">
        <f>C13*Navires!$B$6</f>
        <v>1711.1999999999998</v>
      </c>
      <c r="BG13" s="118">
        <f>D13*Navires!$B$6</f>
        <v>1711.1999999999998</v>
      </c>
      <c r="BH13" s="118">
        <f>E13*Navires!$B$6</f>
        <v>0</v>
      </c>
      <c r="BI13" s="118">
        <f>F13*Navires!$B$6</f>
        <v>3992.7999999999997</v>
      </c>
      <c r="BJ13" s="118">
        <f>G13*Navires!$B$6</f>
        <v>6274.4</v>
      </c>
      <c r="BK13" s="118">
        <f>H13*Navires!$B$6</f>
        <v>3992.7999999999997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30060.079999999994</v>
      </c>
    </row>
    <row r="14" spans="1:73" x14ac:dyDescent="0.25">
      <c r="A14" t="s">
        <v>58</v>
      </c>
      <c r="B14" s="2" t="s">
        <v>46</v>
      </c>
      <c r="C14" s="2">
        <v>1</v>
      </c>
      <c r="D14" s="2">
        <v>1</v>
      </c>
      <c r="E14" s="2">
        <v>0</v>
      </c>
      <c r="F14" s="2">
        <v>14</v>
      </c>
      <c r="G14" s="2">
        <v>12</v>
      </c>
      <c r="H14" s="2">
        <v>3</v>
      </c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31</v>
      </c>
      <c r="S14" s="82">
        <f t="shared" si="1"/>
        <v>7.2429906542056068</v>
      </c>
      <c r="U14" s="2" t="s">
        <v>46</v>
      </c>
      <c r="V14" s="2">
        <f>C14*Navires!$B$2</f>
        <v>1955</v>
      </c>
      <c r="W14" s="2">
        <f>D14*Navires!$C$2</f>
        <v>1955</v>
      </c>
      <c r="X14" s="2">
        <f>E14*Navires!$D$2</f>
        <v>0</v>
      </c>
      <c r="Y14" s="2">
        <f>F14*Navires!$E$2</f>
        <v>26320</v>
      </c>
      <c r="Z14" s="2">
        <f>G14*Navires!$F$2</f>
        <v>22752</v>
      </c>
      <c r="AA14" s="2">
        <f>H14*Navires!$G$2</f>
        <v>6000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58982</v>
      </c>
      <c r="AM14" s="118" t="s">
        <v>46</v>
      </c>
      <c r="AN14" s="118">
        <f>C14*Navires!$B$6</f>
        <v>570.4</v>
      </c>
      <c r="AO14" s="118">
        <f>D14*Navires!$C$6</f>
        <v>570.4</v>
      </c>
      <c r="AP14" s="118">
        <f>E14*Navires!$D$6</f>
        <v>0</v>
      </c>
      <c r="AQ14" s="118">
        <f>F14*Navires!$E$6</f>
        <v>17192</v>
      </c>
      <c r="AR14" s="118">
        <f>G14*Navires!$F$6</f>
        <v>8169.6</v>
      </c>
      <c r="AS14" s="118">
        <f>H14*Navires!$G$6</f>
        <v>2040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14271.2</v>
      </c>
      <c r="BE14" s="118" t="s">
        <v>46</v>
      </c>
      <c r="BF14" s="118">
        <f>C14*Navires!$B$6</f>
        <v>570.4</v>
      </c>
      <c r="BG14" s="118">
        <f>D14*Navires!$B$6</f>
        <v>570.4</v>
      </c>
      <c r="BH14" s="118">
        <f>E14*Navires!$B$6</f>
        <v>0</v>
      </c>
      <c r="BI14" s="118">
        <f>F14*Navires!$B$6</f>
        <v>7985.5999999999995</v>
      </c>
      <c r="BJ14" s="118">
        <f>G14*Navires!$B$6</f>
        <v>6844.7999999999993</v>
      </c>
      <c r="BK14" s="118">
        <f>H14*Navires!$B$6</f>
        <v>1711.1999999999998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12377.679999999998</v>
      </c>
    </row>
    <row r="15" spans="1:73" x14ac:dyDescent="0.25">
      <c r="A15" t="s">
        <v>59</v>
      </c>
      <c r="B15" s="2" t="s">
        <v>47</v>
      </c>
      <c r="C15" s="2">
        <v>9</v>
      </c>
      <c r="D15" s="2">
        <v>0</v>
      </c>
      <c r="E15" s="2">
        <v>0</v>
      </c>
      <c r="F15" s="2">
        <v>9</v>
      </c>
      <c r="G15" s="2">
        <v>8</v>
      </c>
      <c r="H15" s="2">
        <v>8</v>
      </c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34</v>
      </c>
      <c r="S15" s="82">
        <f t="shared" si="1"/>
        <v>7.6749435665914225</v>
      </c>
      <c r="U15" s="2" t="s">
        <v>47</v>
      </c>
      <c r="V15" s="2">
        <f>C15*Navires!$B$2</f>
        <v>17595</v>
      </c>
      <c r="W15" s="2">
        <f>D15*Navires!$C$2</f>
        <v>0</v>
      </c>
      <c r="X15" s="2">
        <f>E15*Navires!$D$2</f>
        <v>0</v>
      </c>
      <c r="Y15" s="2">
        <f>F15*Navires!$E$2</f>
        <v>16920</v>
      </c>
      <c r="Z15" s="2">
        <f>G15*Navires!$F$2</f>
        <v>15168</v>
      </c>
      <c r="AA15" s="2">
        <f>H15*Navires!$G$2</f>
        <v>16000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65683</v>
      </c>
      <c r="AM15" s="118" t="s">
        <v>47</v>
      </c>
      <c r="AN15" s="118">
        <f>C15*Navires!$B$6</f>
        <v>5133.5999999999995</v>
      </c>
      <c r="AO15" s="118">
        <f>D15*Navires!$C$6</f>
        <v>0</v>
      </c>
      <c r="AP15" s="118">
        <f>E15*Navires!$D$6</f>
        <v>0</v>
      </c>
      <c r="AQ15" s="118">
        <f>F15*Navires!$E$6</f>
        <v>11052</v>
      </c>
      <c r="AR15" s="118">
        <f>G15*Navires!$F$6</f>
        <v>5446.4000000000005</v>
      </c>
      <c r="AS15" s="118">
        <f>H15*Navires!$G$6</f>
        <v>5440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13536</v>
      </c>
      <c r="BE15" s="118" t="s">
        <v>47</v>
      </c>
      <c r="BF15" s="118">
        <f>C15*Navires!$B$6</f>
        <v>5133.5999999999995</v>
      </c>
      <c r="BG15" s="118">
        <f>D15*Navires!$B$6</f>
        <v>0</v>
      </c>
      <c r="BH15" s="118">
        <f>E15*Navires!$B$6</f>
        <v>0</v>
      </c>
      <c r="BI15" s="118">
        <f>F15*Navires!$B$6</f>
        <v>5133.5999999999995</v>
      </c>
      <c r="BJ15" s="118">
        <f>G15*Navires!$B$6</f>
        <v>4563.2</v>
      </c>
      <c r="BK15" s="118">
        <f>H15*Navires!$B$6</f>
        <v>4563.2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13575.519999999999</v>
      </c>
    </row>
    <row r="16" spans="1:73" x14ac:dyDescent="0.25">
      <c r="B16" s="29" t="s">
        <v>60</v>
      </c>
      <c r="C16" s="30">
        <f>SUM(C4:C15)</f>
        <v>30</v>
      </c>
      <c r="D16" s="30">
        <f t="shared" ref="D16:Q16" si="2">SUM(D4:D15)</f>
        <v>40</v>
      </c>
      <c r="E16" s="30">
        <f t="shared" si="2"/>
        <v>14</v>
      </c>
      <c r="F16" s="30">
        <f t="shared" si="2"/>
        <v>112</v>
      </c>
      <c r="G16" s="30">
        <f>SUM(G4:G15)</f>
        <v>113</v>
      </c>
      <c r="H16" s="30">
        <f t="shared" si="2"/>
        <v>69</v>
      </c>
      <c r="I16" s="30">
        <f t="shared" si="2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4</v>
      </c>
      <c r="Q16" s="30">
        <f t="shared" si="2"/>
        <v>0</v>
      </c>
      <c r="R16" s="34">
        <f t="shared" si="0"/>
        <v>382</v>
      </c>
      <c r="S16" s="82">
        <f t="shared" si="1"/>
        <v>7.3278342605025895</v>
      </c>
      <c r="U16" s="29" t="s">
        <v>60</v>
      </c>
      <c r="V16" s="30">
        <f>SUM(V4:V15)</f>
        <v>58650</v>
      </c>
      <c r="W16" s="30">
        <f t="shared" ref="W16:AJ16" si="3">SUM(W4:W15)</f>
        <v>78200</v>
      </c>
      <c r="X16" s="30">
        <f t="shared" si="3"/>
        <v>29484</v>
      </c>
      <c r="Y16" s="30">
        <f t="shared" si="3"/>
        <v>210560</v>
      </c>
      <c r="Z16" s="30">
        <f t="shared" si="3"/>
        <v>214248</v>
      </c>
      <c r="AA16" s="30">
        <f t="shared" si="3"/>
        <v>138000</v>
      </c>
      <c r="AB16" s="30">
        <f t="shared" si="3"/>
        <v>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6000</v>
      </c>
      <c r="AJ16" s="30">
        <f t="shared" si="3"/>
        <v>0</v>
      </c>
      <c r="AM16" s="29" t="s">
        <v>60</v>
      </c>
      <c r="AN16" s="30">
        <f>SUM(AN4:AN15)</f>
        <v>17112</v>
      </c>
      <c r="AO16" s="30">
        <f t="shared" ref="AO16:BB16" si="4">SUM(AO4:AO15)</f>
        <v>22816.000000000004</v>
      </c>
      <c r="AP16" s="30">
        <f t="shared" si="4"/>
        <v>11200</v>
      </c>
      <c r="AQ16" s="30">
        <f t="shared" si="4"/>
        <v>137536</v>
      </c>
      <c r="AR16" s="30">
        <f t="shared" si="4"/>
        <v>76930.400000000009</v>
      </c>
      <c r="AS16" s="30">
        <f t="shared" si="4"/>
        <v>46920</v>
      </c>
      <c r="AT16" s="30">
        <f t="shared" si="4"/>
        <v>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2560</v>
      </c>
      <c r="BB16" s="30">
        <f t="shared" si="4"/>
        <v>0</v>
      </c>
      <c r="BE16" s="29" t="s">
        <v>60</v>
      </c>
      <c r="BF16" s="30">
        <f>SUM(BF4:BF15)</f>
        <v>17112</v>
      </c>
      <c r="BG16" s="30">
        <f t="shared" ref="BG16:BT16" si="5">SUM(BG4:BG15)</f>
        <v>22816.000000000004</v>
      </c>
      <c r="BH16" s="30">
        <f t="shared" si="5"/>
        <v>7985.5999999999995</v>
      </c>
      <c r="BI16" s="30">
        <f t="shared" si="5"/>
        <v>63884.800000000003</v>
      </c>
      <c r="BJ16" s="30">
        <f t="shared" si="5"/>
        <v>64455.199999999997</v>
      </c>
      <c r="BK16" s="30">
        <f t="shared" si="5"/>
        <v>39357.599999999991</v>
      </c>
      <c r="BL16" s="30">
        <f t="shared" si="5"/>
        <v>0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2281.6</v>
      </c>
      <c r="BT16" s="30">
        <f t="shared" si="5"/>
        <v>0</v>
      </c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1</v>
      </c>
      <c r="D21" s="2">
        <v>12</v>
      </c>
      <c r="E21" s="2">
        <v>7</v>
      </c>
      <c r="F21" s="2">
        <v>0</v>
      </c>
      <c r="G21" s="2">
        <v>10</v>
      </c>
      <c r="H21" s="2">
        <v>4</v>
      </c>
      <c r="I21" s="2"/>
      <c r="J21" s="2"/>
      <c r="K21" s="2"/>
      <c r="L21" s="2"/>
      <c r="M21" s="2"/>
      <c r="N21" s="2"/>
      <c r="O21" s="2"/>
      <c r="P21" s="2">
        <v>3</v>
      </c>
      <c r="Q21" s="32"/>
      <c r="R21" s="34">
        <f>SUM(C21:Q21)</f>
        <v>37</v>
      </c>
      <c r="S21" s="82">
        <f>R21/R36</f>
        <v>8.3521444695259603</v>
      </c>
      <c r="U21" s="2" t="s">
        <v>36</v>
      </c>
      <c r="V21" s="2">
        <f>C21*Navires!$B$2</f>
        <v>1955</v>
      </c>
      <c r="W21" s="2">
        <f>D21*Navires!$C$2</f>
        <v>23460</v>
      </c>
      <c r="X21" s="2">
        <f>E21*Navires!$D$2</f>
        <v>14742</v>
      </c>
      <c r="Y21" s="2">
        <f>F21*Navires!$E$2</f>
        <v>0</v>
      </c>
      <c r="Z21" s="2">
        <f>G21*Navires!$F$2</f>
        <v>18960</v>
      </c>
      <c r="AA21" s="2">
        <f>H21*Navires!$G$2</f>
        <v>8000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4500</v>
      </c>
      <c r="AJ21" s="2">
        <f>Q21*Navires!$P$2</f>
        <v>0</v>
      </c>
      <c r="AK21" s="35">
        <f>(SUM(V21:AJ21))*Générale!$B7</f>
        <v>71617</v>
      </c>
      <c r="AM21" s="118" t="s">
        <v>36</v>
      </c>
      <c r="AN21" s="118">
        <f>C21*Navires!$B$6</f>
        <v>570.4</v>
      </c>
      <c r="AO21" s="118">
        <f>D21*Navires!$C$6</f>
        <v>6844.7999999999993</v>
      </c>
      <c r="AP21" s="118">
        <f>E21*Navires!$D$6</f>
        <v>5600</v>
      </c>
      <c r="AQ21" s="118">
        <f>F21*Navires!$E$6</f>
        <v>0</v>
      </c>
      <c r="AR21" s="118">
        <f>G21*Navires!$F$6</f>
        <v>6808.0000000000009</v>
      </c>
      <c r="AS21" s="118">
        <f>H21*Navires!$G$6</f>
        <v>2720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1920</v>
      </c>
      <c r="BB21" s="118">
        <f>Q21*Navires!$P$6</f>
        <v>0</v>
      </c>
      <c r="BC21" s="185">
        <f>SUM(AN21:BB21)*Générale!$B$27</f>
        <v>12231.6</v>
      </c>
      <c r="BE21" s="118" t="s">
        <v>36</v>
      </c>
      <c r="BF21" s="118">
        <f>C21*Navires!$B$6</f>
        <v>570.4</v>
      </c>
      <c r="BG21" s="118">
        <f>D21*Navires!$B$6</f>
        <v>6844.7999999999993</v>
      </c>
      <c r="BH21" s="118">
        <f>E21*Navires!$B$6</f>
        <v>3992.7999999999997</v>
      </c>
      <c r="BI21" s="118">
        <f>F21*Navires!$B$6</f>
        <v>0</v>
      </c>
      <c r="BJ21" s="118">
        <f>G21*Navires!$B$6</f>
        <v>5704</v>
      </c>
      <c r="BK21" s="118">
        <f>H21*Navires!$B$6</f>
        <v>2281.6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1711.1999999999998</v>
      </c>
      <c r="BT21" s="118">
        <f>Q21*Navires!$B$6</f>
        <v>0</v>
      </c>
      <c r="BU21" s="185">
        <f>SUM(BF21:BT21)*Générale!$B$23</f>
        <v>14773.359999999999</v>
      </c>
    </row>
    <row r="22" spans="1:73" x14ac:dyDescent="0.25">
      <c r="A22" t="s">
        <v>49</v>
      </c>
      <c r="B22" s="2" t="s">
        <v>37</v>
      </c>
      <c r="C22" s="2">
        <v>4</v>
      </c>
      <c r="D22" s="2">
        <v>5</v>
      </c>
      <c r="E22">
        <v>0</v>
      </c>
      <c r="F22" s="2">
        <v>11</v>
      </c>
      <c r="G22" s="2">
        <v>6</v>
      </c>
      <c r="H22" s="2">
        <v>4</v>
      </c>
      <c r="I22" s="2"/>
      <c r="J22" s="2"/>
      <c r="K22" s="2"/>
      <c r="L22" s="2"/>
      <c r="M22" s="2"/>
      <c r="N22" s="2"/>
      <c r="O22" s="2"/>
      <c r="P22" s="2"/>
      <c r="Q22" s="32"/>
      <c r="R22" s="34">
        <f t="shared" ref="R22:R33" si="6">SUM(C22:Q22)</f>
        <v>30</v>
      </c>
      <c r="S22" s="82">
        <f t="shared" ref="S22:S33" si="7">R22/R37</f>
        <v>7.5</v>
      </c>
      <c r="U22" s="2" t="s">
        <v>37</v>
      </c>
      <c r="V22" s="2">
        <f>C22*Navires!$B$2</f>
        <v>7820</v>
      </c>
      <c r="W22" s="2">
        <f>D22*Navires!$C$2</f>
        <v>9775</v>
      </c>
      <c r="X22" s="2">
        <f>E22*Navires!$D$2</f>
        <v>0</v>
      </c>
      <c r="Y22" s="2">
        <f>F22*Navires!$E$2</f>
        <v>20680</v>
      </c>
      <c r="Z22" s="2">
        <f>G22*Navires!$F$2</f>
        <v>11376</v>
      </c>
      <c r="AA22" s="2">
        <f>H22*Navires!$G$2</f>
        <v>8000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57651</v>
      </c>
      <c r="AM22" s="118" t="s">
        <v>37</v>
      </c>
      <c r="AN22" s="118">
        <f>C22*Navires!$B$6</f>
        <v>2281.6</v>
      </c>
      <c r="AO22" s="118">
        <f>D22*Navires!$C$6</f>
        <v>2852</v>
      </c>
      <c r="AP22" s="118">
        <f>E22*Navires!$D$6</f>
        <v>0</v>
      </c>
      <c r="AQ22" s="118">
        <f>F22*Navires!$E$6</f>
        <v>13508</v>
      </c>
      <c r="AR22" s="118">
        <f>G22*Navires!$F$6</f>
        <v>4084.8</v>
      </c>
      <c r="AS22" s="118">
        <f>H22*Navires!$G$6</f>
        <v>2720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12723.199999999999</v>
      </c>
      <c r="BE22" s="118" t="s">
        <v>37</v>
      </c>
      <c r="BF22" s="118">
        <f>C22*Navires!$B$6</f>
        <v>2281.6</v>
      </c>
      <c r="BG22" s="118">
        <f>D22*Navires!$B$6</f>
        <v>2852</v>
      </c>
      <c r="BH22" s="118">
        <f>E22*Navires!$B$6</f>
        <v>0</v>
      </c>
      <c r="BI22" s="118">
        <f>F22*Navires!$B$6</f>
        <v>6274.4</v>
      </c>
      <c r="BJ22" s="118">
        <f>G22*Navires!$B$6</f>
        <v>3422.3999999999996</v>
      </c>
      <c r="BK22" s="118">
        <f>H22*Navires!$B$6</f>
        <v>2281.6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11978.4</v>
      </c>
    </row>
    <row r="23" spans="1:73" x14ac:dyDescent="0.25">
      <c r="A23" t="s">
        <v>50</v>
      </c>
      <c r="B23" s="2" t="s">
        <v>38</v>
      </c>
      <c r="C23" s="2">
        <v>4</v>
      </c>
      <c r="D23" s="2">
        <v>8</v>
      </c>
      <c r="E23" s="2">
        <v>2</v>
      </c>
      <c r="F23" s="2">
        <v>13</v>
      </c>
      <c r="G23" s="2">
        <v>2</v>
      </c>
      <c r="H23" s="2">
        <v>3</v>
      </c>
      <c r="I23" s="2"/>
      <c r="J23" s="2"/>
      <c r="K23" s="2"/>
      <c r="L23" s="2"/>
      <c r="M23" s="2"/>
      <c r="N23" s="2"/>
      <c r="O23" s="2"/>
      <c r="P23" s="2">
        <v>2</v>
      </c>
      <c r="Q23" s="32"/>
      <c r="R23" s="34">
        <f t="shared" si="6"/>
        <v>34</v>
      </c>
      <c r="S23" s="82">
        <f t="shared" si="7"/>
        <v>7.6749435665914225</v>
      </c>
      <c r="U23" s="2" t="s">
        <v>38</v>
      </c>
      <c r="V23" s="2">
        <f>C23*Navires!$B$2</f>
        <v>7820</v>
      </c>
      <c r="W23" s="2">
        <f>D23*Navires!$C$2</f>
        <v>15640</v>
      </c>
      <c r="X23" s="2">
        <f>E23*Navires!$D$2</f>
        <v>4212</v>
      </c>
      <c r="Y23" s="2">
        <f>F23*Navires!$E$2</f>
        <v>24440</v>
      </c>
      <c r="Z23" s="2">
        <f>G23*Navires!$F$2</f>
        <v>3792</v>
      </c>
      <c r="AA23" s="2">
        <f>H23*Navires!$G$2</f>
        <v>6000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3000</v>
      </c>
      <c r="AJ23" s="2">
        <f>Q23*Navires!$P$2</f>
        <v>0</v>
      </c>
      <c r="AK23" s="35">
        <f>(SUM(V23:AJ23))*Générale!$B9</f>
        <v>64904</v>
      </c>
      <c r="AM23" s="118" t="s">
        <v>38</v>
      </c>
      <c r="AN23" s="118">
        <f>C23*Navires!$B$6</f>
        <v>2281.6</v>
      </c>
      <c r="AO23" s="118">
        <f>D23*Navires!$C$6</f>
        <v>4563.2</v>
      </c>
      <c r="AP23" s="118">
        <f>E23*Navires!$D$6</f>
        <v>1600</v>
      </c>
      <c r="AQ23" s="118">
        <f>F23*Navires!$E$6</f>
        <v>15964</v>
      </c>
      <c r="AR23" s="118">
        <f>G23*Navires!$F$6</f>
        <v>1361.6000000000001</v>
      </c>
      <c r="AS23" s="118">
        <f>H23*Navires!$G$6</f>
        <v>2040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1280</v>
      </c>
      <c r="BB23" s="118">
        <f>Q23*Navires!$P$6</f>
        <v>0</v>
      </c>
      <c r="BC23" s="185">
        <f>SUM(AN23:BB23)*Générale!$B$27</f>
        <v>14545.199999999999</v>
      </c>
      <c r="BE23" s="118" t="s">
        <v>38</v>
      </c>
      <c r="BF23" s="118">
        <f>C23*Navires!$B$6</f>
        <v>2281.6</v>
      </c>
      <c r="BG23" s="118">
        <f>D23*Navires!$B$6</f>
        <v>4563.2</v>
      </c>
      <c r="BH23" s="118">
        <f>E23*Navires!$B$6</f>
        <v>1140.8</v>
      </c>
      <c r="BI23" s="118">
        <f>F23*Navires!$B$6</f>
        <v>7415.2</v>
      </c>
      <c r="BJ23" s="118">
        <f>G23*Navires!$B$6</f>
        <v>1140.8</v>
      </c>
      <c r="BK23" s="118">
        <f>H23*Navires!$B$6</f>
        <v>1711.1999999999998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1140.8</v>
      </c>
      <c r="BT23" s="118">
        <f>Q23*Navires!$B$6</f>
        <v>0</v>
      </c>
      <c r="BU23" s="185">
        <f>SUM(BF23:BT23)*Générale!$B$23</f>
        <v>13575.519999999999</v>
      </c>
    </row>
    <row r="24" spans="1:73" x14ac:dyDescent="0.25">
      <c r="A24" t="s">
        <v>51</v>
      </c>
      <c r="B24" s="2" t="s">
        <v>39</v>
      </c>
      <c r="C24" s="2">
        <v>4</v>
      </c>
      <c r="D24" s="2">
        <v>0</v>
      </c>
      <c r="E24" s="2">
        <v>1</v>
      </c>
      <c r="F24" s="2">
        <v>9</v>
      </c>
      <c r="G24" s="2">
        <v>10</v>
      </c>
      <c r="H24" s="2">
        <v>5</v>
      </c>
      <c r="I24" s="2"/>
      <c r="J24" s="2"/>
      <c r="K24" s="2"/>
      <c r="L24" s="2"/>
      <c r="M24" s="2"/>
      <c r="N24" s="2"/>
      <c r="O24" s="2"/>
      <c r="P24" s="2"/>
      <c r="Q24" s="32"/>
      <c r="R24" s="34">
        <f t="shared" si="6"/>
        <v>29</v>
      </c>
      <c r="S24" s="82">
        <f t="shared" si="7"/>
        <v>6.7757009345794392</v>
      </c>
      <c r="U24" s="2" t="s">
        <v>39</v>
      </c>
      <c r="V24" s="2">
        <f>C24*Navires!$B$2</f>
        <v>7820</v>
      </c>
      <c r="W24" s="2">
        <f>D24*Navires!$C$2</f>
        <v>0</v>
      </c>
      <c r="X24" s="2">
        <f>E24*Navires!$D$2</f>
        <v>2106</v>
      </c>
      <c r="Y24" s="2">
        <f>F24*Navires!$E$2</f>
        <v>16920</v>
      </c>
      <c r="Z24" s="2">
        <f>G24*Navires!$F$2</f>
        <v>18960</v>
      </c>
      <c r="AA24" s="2">
        <f>H24*Navires!$G$2</f>
        <v>10000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55806</v>
      </c>
      <c r="AM24" s="118" t="s">
        <v>39</v>
      </c>
      <c r="AN24" s="118">
        <f>C24*Navires!$B$6</f>
        <v>2281.6</v>
      </c>
      <c r="AO24" s="118">
        <f>D24*Navires!$C$6</f>
        <v>0</v>
      </c>
      <c r="AP24" s="118">
        <f>E24*Navires!$D$6</f>
        <v>800</v>
      </c>
      <c r="AQ24" s="118">
        <f>F24*Navires!$E$6</f>
        <v>11052</v>
      </c>
      <c r="AR24" s="118">
        <f>G24*Navires!$F$6</f>
        <v>6808.0000000000009</v>
      </c>
      <c r="AS24" s="118">
        <f>H24*Navires!$G$6</f>
        <v>3400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12170.800000000001</v>
      </c>
      <c r="BE24" s="118" t="s">
        <v>39</v>
      </c>
      <c r="BF24" s="118">
        <f>C24*Navires!$B$6</f>
        <v>2281.6</v>
      </c>
      <c r="BG24" s="118">
        <f>D24*Navires!$B$6</f>
        <v>0</v>
      </c>
      <c r="BH24" s="118">
        <f>E24*Navires!$B$6</f>
        <v>570.4</v>
      </c>
      <c r="BI24" s="118">
        <f>F24*Navires!$B$6</f>
        <v>5133.5999999999995</v>
      </c>
      <c r="BJ24" s="118">
        <f>G24*Navires!$B$6</f>
        <v>5704</v>
      </c>
      <c r="BK24" s="118">
        <f>H24*Navires!$B$6</f>
        <v>2852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28120.719999999998</v>
      </c>
    </row>
    <row r="25" spans="1:73" x14ac:dyDescent="0.25">
      <c r="A25" t="s">
        <v>52</v>
      </c>
      <c r="B25" s="2" t="s">
        <v>40</v>
      </c>
      <c r="C25" s="2">
        <v>0</v>
      </c>
      <c r="D25" s="2">
        <v>0</v>
      </c>
      <c r="E25" s="2">
        <v>0</v>
      </c>
      <c r="F25" s="2">
        <v>8</v>
      </c>
      <c r="G25" s="2">
        <v>14</v>
      </c>
      <c r="H25" s="2">
        <v>11</v>
      </c>
      <c r="I25" s="2"/>
      <c r="J25" s="2"/>
      <c r="K25" s="2"/>
      <c r="L25" s="2"/>
      <c r="M25" s="2"/>
      <c r="N25" s="2"/>
      <c r="O25" s="2"/>
      <c r="P25" s="2"/>
      <c r="Q25" s="32"/>
      <c r="R25" s="34">
        <f t="shared" si="6"/>
        <v>33</v>
      </c>
      <c r="S25" s="82">
        <f t="shared" si="7"/>
        <v>7.4492099322799099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15040</v>
      </c>
      <c r="Z25" s="2">
        <f>G25*Navires!$F$2</f>
        <v>26544</v>
      </c>
      <c r="AA25" s="2">
        <f>H25*Navires!$G$2</f>
        <v>22000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63584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9824</v>
      </c>
      <c r="AR25" s="118">
        <f>G25*Navires!$F$6</f>
        <v>9531.2000000000007</v>
      </c>
      <c r="AS25" s="118">
        <f>H25*Navires!$G$6</f>
        <v>7480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8050.5599999999995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4563.2</v>
      </c>
      <c r="BJ25" s="118">
        <f>G25*Navires!$B$6</f>
        <v>7985.5999999999995</v>
      </c>
      <c r="BK25" s="118">
        <f>H25*Navires!$B$6</f>
        <v>6274.4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31999.439999999995</v>
      </c>
    </row>
    <row r="26" spans="1:73" x14ac:dyDescent="0.25">
      <c r="A26" t="s">
        <v>53</v>
      </c>
      <c r="B26" s="2" t="s">
        <v>41</v>
      </c>
      <c r="C26" s="2">
        <v>0</v>
      </c>
      <c r="D26" s="2">
        <v>4</v>
      </c>
      <c r="E26" s="2">
        <v>1</v>
      </c>
      <c r="F26" s="2">
        <v>10</v>
      </c>
      <c r="G26" s="2">
        <v>6</v>
      </c>
      <c r="H26" s="2">
        <v>8</v>
      </c>
      <c r="I26" s="2"/>
      <c r="J26" s="2"/>
      <c r="K26" s="2"/>
      <c r="L26" s="2"/>
      <c r="M26" s="2"/>
      <c r="N26" s="2"/>
      <c r="O26" s="2"/>
      <c r="P26" s="2"/>
      <c r="Q26" s="32"/>
      <c r="R26" s="34">
        <f t="shared" si="6"/>
        <v>29</v>
      </c>
      <c r="S26" s="82">
        <f t="shared" si="7"/>
        <v>6.7757009345794392</v>
      </c>
      <c r="U26" s="2" t="s">
        <v>41</v>
      </c>
      <c r="V26" s="2">
        <f>C26*Navires!$B$2</f>
        <v>0</v>
      </c>
      <c r="W26" s="2">
        <f>D26*Navires!$C$2</f>
        <v>7820</v>
      </c>
      <c r="X26" s="2">
        <f>E26*Navires!$D$2</f>
        <v>2106</v>
      </c>
      <c r="Y26" s="2">
        <f>F26*Navires!$E$2</f>
        <v>18800</v>
      </c>
      <c r="Z26" s="2">
        <f>G26*Navires!$F$2</f>
        <v>11376</v>
      </c>
      <c r="AA26" s="2">
        <f>H26*Navires!$G$2</f>
        <v>16000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56102</v>
      </c>
      <c r="AM26" s="118" t="s">
        <v>41</v>
      </c>
      <c r="AN26" s="118">
        <f>C26*Navires!$B$6</f>
        <v>0</v>
      </c>
      <c r="AO26" s="118">
        <f>D26*Navires!$C$6</f>
        <v>2281.6</v>
      </c>
      <c r="AP26" s="118">
        <f>E26*Navires!$D$6</f>
        <v>800</v>
      </c>
      <c r="AQ26" s="118">
        <f>F26*Navires!$E$6</f>
        <v>12280</v>
      </c>
      <c r="AR26" s="118">
        <f>G26*Navires!$F$6</f>
        <v>4084.8</v>
      </c>
      <c r="AS26" s="118">
        <f>H26*Navires!$G$6</f>
        <v>5440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7465.92</v>
      </c>
      <c r="BE26" s="118" t="s">
        <v>41</v>
      </c>
      <c r="BF26" s="118">
        <f>C26*Navires!$B$6</f>
        <v>0</v>
      </c>
      <c r="BG26" s="118">
        <f>D26*Navires!$B$6</f>
        <v>2281.6</v>
      </c>
      <c r="BH26" s="118">
        <f>E26*Navires!$B$6</f>
        <v>570.4</v>
      </c>
      <c r="BI26" s="118">
        <f>F26*Navires!$B$6</f>
        <v>5704</v>
      </c>
      <c r="BJ26" s="118">
        <f>G26*Navires!$B$6</f>
        <v>3422.3999999999996</v>
      </c>
      <c r="BK26" s="118">
        <f>H26*Navires!$B$6</f>
        <v>4563.2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28120.719999999998</v>
      </c>
    </row>
    <row r="27" spans="1:73" x14ac:dyDescent="0.25">
      <c r="A27" t="s">
        <v>54</v>
      </c>
      <c r="B27" s="2" t="s">
        <v>42</v>
      </c>
      <c r="C27" s="2">
        <v>2</v>
      </c>
      <c r="D27" s="2">
        <v>2</v>
      </c>
      <c r="E27" s="2">
        <v>0</v>
      </c>
      <c r="F27" s="2">
        <v>12</v>
      </c>
      <c r="G27" s="2">
        <v>11</v>
      </c>
      <c r="H27" s="2">
        <v>4</v>
      </c>
      <c r="I27" s="2"/>
      <c r="J27" s="2"/>
      <c r="K27" s="2"/>
      <c r="L27" s="2"/>
      <c r="M27" s="2"/>
      <c r="N27" s="2"/>
      <c r="O27" s="2"/>
      <c r="P27" s="2"/>
      <c r="Q27" s="32"/>
      <c r="R27" s="34">
        <f t="shared" si="6"/>
        <v>31</v>
      </c>
      <c r="S27" s="82">
        <f t="shared" si="7"/>
        <v>6.9977426636568856</v>
      </c>
      <c r="U27" s="2" t="s">
        <v>42</v>
      </c>
      <c r="V27" s="2">
        <f>C27*Navires!$B$2</f>
        <v>3910</v>
      </c>
      <c r="W27" s="2">
        <f>D27*Navires!$C$2</f>
        <v>3910</v>
      </c>
      <c r="X27" s="2">
        <f>E27*Navires!$D$2</f>
        <v>0</v>
      </c>
      <c r="Y27" s="2">
        <f>F27*Navires!$E$2</f>
        <v>22560</v>
      </c>
      <c r="Z27" s="2">
        <f>G27*Navires!$F$2</f>
        <v>20856</v>
      </c>
      <c r="AA27" s="2">
        <f>H27*Navires!$G$2</f>
        <v>8000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59236</v>
      </c>
      <c r="AM27" s="118" t="s">
        <v>42</v>
      </c>
      <c r="AN27" s="118">
        <f>C27*Navires!$B$6</f>
        <v>1140.8</v>
      </c>
      <c r="AO27" s="118">
        <f>D27*Navires!$C$6</f>
        <v>1140.8</v>
      </c>
      <c r="AP27" s="118">
        <f>E27*Navires!$D$6</f>
        <v>0</v>
      </c>
      <c r="AQ27" s="118">
        <f>F27*Navires!$E$6</f>
        <v>14736</v>
      </c>
      <c r="AR27" s="118">
        <f>G27*Navires!$F$6</f>
        <v>7488.8000000000011</v>
      </c>
      <c r="AS27" s="118">
        <f>H27*Navires!$G$6</f>
        <v>2720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8167.92</v>
      </c>
      <c r="BE27" s="118" t="s">
        <v>42</v>
      </c>
      <c r="BF27" s="118">
        <f>C27*Navires!$B$6</f>
        <v>1140.8</v>
      </c>
      <c r="BG27" s="118">
        <f>D27*Navires!$B$6</f>
        <v>1140.8</v>
      </c>
      <c r="BH27" s="118">
        <f>E27*Navires!$B$6</f>
        <v>0</v>
      </c>
      <c r="BI27" s="118">
        <f>F27*Navires!$B$6</f>
        <v>6844.7999999999993</v>
      </c>
      <c r="BJ27" s="118">
        <f>G27*Navires!$B$6</f>
        <v>6274.4</v>
      </c>
      <c r="BK27" s="118">
        <f>H27*Navires!$B$6</f>
        <v>2281.6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30060.079999999994</v>
      </c>
    </row>
    <row r="28" spans="1:73" x14ac:dyDescent="0.25">
      <c r="A28" t="s">
        <v>55</v>
      </c>
      <c r="B28" s="2" t="s">
        <v>43</v>
      </c>
      <c r="C28" s="2">
        <v>3</v>
      </c>
      <c r="D28" s="2">
        <v>1</v>
      </c>
      <c r="E28" s="2">
        <v>0</v>
      </c>
      <c r="F28" s="2">
        <v>10</v>
      </c>
      <c r="G28" s="2">
        <v>12</v>
      </c>
      <c r="H28" s="2">
        <v>4</v>
      </c>
      <c r="I28" s="2"/>
      <c r="J28" s="2"/>
      <c r="K28" s="2"/>
      <c r="L28" s="2"/>
      <c r="M28" s="2"/>
      <c r="N28" s="2"/>
      <c r="O28" s="2"/>
      <c r="P28" s="2"/>
      <c r="Q28" s="32"/>
      <c r="R28" s="34">
        <f t="shared" si="6"/>
        <v>30</v>
      </c>
      <c r="S28" s="82">
        <f t="shared" si="7"/>
        <v>6.772009029345373</v>
      </c>
      <c r="U28" s="2" t="s">
        <v>43</v>
      </c>
      <c r="V28" s="2">
        <f>C28*Navires!$B$2</f>
        <v>5865</v>
      </c>
      <c r="W28" s="2">
        <f>D28*Navires!$C$2</f>
        <v>1955</v>
      </c>
      <c r="X28" s="2">
        <f>E28*Navires!$D$2</f>
        <v>0</v>
      </c>
      <c r="Y28" s="2">
        <f>F28*Navires!$E$2</f>
        <v>18800</v>
      </c>
      <c r="Z28" s="2">
        <f>G28*Navires!$F$2</f>
        <v>22752</v>
      </c>
      <c r="AA28" s="2">
        <f>H28*Navires!$G$2</f>
        <v>8000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57372</v>
      </c>
      <c r="AM28" s="118" t="s">
        <v>43</v>
      </c>
      <c r="AN28" s="118">
        <f>C28*Navires!$B$6</f>
        <v>1711.1999999999998</v>
      </c>
      <c r="AO28" s="118">
        <f>D28*Navires!$C$6</f>
        <v>570.4</v>
      </c>
      <c r="AP28" s="118">
        <f>E28*Navires!$D$6</f>
        <v>0</v>
      </c>
      <c r="AQ28" s="118">
        <f>F28*Navires!$E$6</f>
        <v>12280</v>
      </c>
      <c r="AR28" s="118">
        <f>G28*Navires!$F$6</f>
        <v>8169.6</v>
      </c>
      <c r="AS28" s="118">
        <f>H28*Navires!$G$6</f>
        <v>2720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7635.36</v>
      </c>
      <c r="BE28" s="118" t="s">
        <v>43</v>
      </c>
      <c r="BF28" s="118">
        <f>C28*Navires!$B$6</f>
        <v>1711.1999999999998</v>
      </c>
      <c r="BG28" s="118">
        <f>D28*Navires!$B$6</f>
        <v>570.4</v>
      </c>
      <c r="BH28" s="118">
        <f>E28*Navires!$B$6</f>
        <v>0</v>
      </c>
      <c r="BI28" s="118">
        <f>F28*Navires!$B$6</f>
        <v>5704</v>
      </c>
      <c r="BJ28" s="118">
        <f>G28*Navires!$B$6</f>
        <v>6844.7999999999993</v>
      </c>
      <c r="BK28" s="118">
        <f>H28*Navires!$B$6</f>
        <v>2281.6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29090.399999999998</v>
      </c>
    </row>
    <row r="29" spans="1:73" x14ac:dyDescent="0.25">
      <c r="A29" t="s">
        <v>56</v>
      </c>
      <c r="B29" s="2" t="s">
        <v>44</v>
      </c>
      <c r="C29" s="2">
        <v>0</v>
      </c>
      <c r="D29" s="2">
        <v>2</v>
      </c>
      <c r="E29" s="2">
        <v>0</v>
      </c>
      <c r="F29" s="2">
        <v>10</v>
      </c>
      <c r="G29" s="2">
        <v>12</v>
      </c>
      <c r="H29" s="2">
        <v>6</v>
      </c>
      <c r="I29" s="2"/>
      <c r="J29" s="2"/>
      <c r="K29" s="2"/>
      <c r="L29" s="2"/>
      <c r="M29" s="2"/>
      <c r="N29" s="2"/>
      <c r="O29" s="2"/>
      <c r="P29" s="2"/>
      <c r="Q29" s="32"/>
      <c r="R29" s="34">
        <f t="shared" si="6"/>
        <v>30</v>
      </c>
      <c r="S29" s="82">
        <f t="shared" si="7"/>
        <v>7.009345794392523</v>
      </c>
      <c r="U29" s="2" t="s">
        <v>44</v>
      </c>
      <c r="V29" s="2">
        <f>C29*Navires!$B$2</f>
        <v>0</v>
      </c>
      <c r="W29" s="2">
        <f>D29*Navires!$C$2</f>
        <v>3910</v>
      </c>
      <c r="X29" s="2">
        <f>E29*Navires!$D$2</f>
        <v>0</v>
      </c>
      <c r="Y29" s="2">
        <f>F29*Navires!$E$2</f>
        <v>18800</v>
      </c>
      <c r="Z29" s="2">
        <f>G29*Navires!$F$2</f>
        <v>22752</v>
      </c>
      <c r="AA29" s="2">
        <f>H29*Navires!$G$2</f>
        <v>12000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57462</v>
      </c>
      <c r="AM29" s="118" t="s">
        <v>44</v>
      </c>
      <c r="AN29" s="118">
        <f>C29*Navires!$B$6</f>
        <v>0</v>
      </c>
      <c r="AO29" s="118">
        <f>D29*Navires!$C$6</f>
        <v>1140.8</v>
      </c>
      <c r="AP29" s="118">
        <f>E29*Navires!$D$6</f>
        <v>0</v>
      </c>
      <c r="AQ29" s="118">
        <f>F29*Navires!$E$6</f>
        <v>12280</v>
      </c>
      <c r="AR29" s="118">
        <f>G29*Navires!$F$6</f>
        <v>8169.6</v>
      </c>
      <c r="AS29" s="118">
        <f>H29*Navires!$G$6</f>
        <v>4080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7701.12</v>
      </c>
      <c r="BE29" s="118" t="s">
        <v>44</v>
      </c>
      <c r="BF29" s="118">
        <f>C29*Navires!$B$6</f>
        <v>0</v>
      </c>
      <c r="BG29" s="118">
        <f>D29*Navires!$B$6</f>
        <v>1140.8</v>
      </c>
      <c r="BH29" s="118">
        <f>E29*Navires!$B$6</f>
        <v>0</v>
      </c>
      <c r="BI29" s="118">
        <f>F29*Navires!$B$6</f>
        <v>5704</v>
      </c>
      <c r="BJ29" s="118">
        <f>G29*Navires!$B$6</f>
        <v>6844.7999999999993</v>
      </c>
      <c r="BK29" s="118">
        <f>H29*Navires!$B$6</f>
        <v>3422.3999999999996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29090.399999999998</v>
      </c>
    </row>
    <row r="30" spans="1:73" x14ac:dyDescent="0.25">
      <c r="A30" t="s">
        <v>57</v>
      </c>
      <c r="B30" s="2" t="s">
        <v>45</v>
      </c>
      <c r="C30" s="2">
        <v>3</v>
      </c>
      <c r="D30" s="2">
        <v>5</v>
      </c>
      <c r="E30" s="2">
        <v>0</v>
      </c>
      <c r="F30" s="2">
        <v>7</v>
      </c>
      <c r="G30" s="2">
        <v>10</v>
      </c>
      <c r="H30" s="2">
        <v>7</v>
      </c>
      <c r="I30" s="2"/>
      <c r="J30" s="2"/>
      <c r="K30" s="2"/>
      <c r="L30" s="2"/>
      <c r="M30" s="2"/>
      <c r="N30" s="2"/>
      <c r="O30" s="2"/>
      <c r="P30" s="2"/>
      <c r="Q30" s="32"/>
      <c r="R30" s="34">
        <f t="shared" si="6"/>
        <v>32</v>
      </c>
      <c r="S30" s="82">
        <f t="shared" si="7"/>
        <v>7.2234762979683982</v>
      </c>
      <c r="U30" s="2" t="s">
        <v>45</v>
      </c>
      <c r="V30" s="2">
        <f>C30*Navires!$B$2</f>
        <v>5865</v>
      </c>
      <c r="W30" s="2">
        <f>D30*Navires!$C$2</f>
        <v>9775</v>
      </c>
      <c r="X30" s="2">
        <f>E30*Navires!$D$2</f>
        <v>0</v>
      </c>
      <c r="Y30" s="2">
        <f>F30*Navires!$E$2</f>
        <v>13160</v>
      </c>
      <c r="Z30" s="2">
        <f>G30*Navires!$F$2</f>
        <v>18960</v>
      </c>
      <c r="AA30" s="2">
        <f>H30*Navires!$G$2</f>
        <v>14000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61760</v>
      </c>
      <c r="AM30" s="118" t="s">
        <v>45</v>
      </c>
      <c r="AN30" s="118">
        <f>C30*Navires!$B$6</f>
        <v>1711.1999999999998</v>
      </c>
      <c r="AO30" s="118">
        <f>D30*Navires!$C$6</f>
        <v>2852</v>
      </c>
      <c r="AP30" s="118">
        <f>E30*Navires!$D$6</f>
        <v>0</v>
      </c>
      <c r="AQ30" s="118">
        <f>F30*Navires!$E$6</f>
        <v>8596</v>
      </c>
      <c r="AR30" s="118">
        <f>G30*Navires!$F$6</f>
        <v>6808.0000000000009</v>
      </c>
      <c r="AS30" s="118">
        <f>H30*Navires!$G$6</f>
        <v>4760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12363.6</v>
      </c>
      <c r="BE30" s="118" t="s">
        <v>45</v>
      </c>
      <c r="BF30" s="118">
        <f>C30*Navires!$B$6</f>
        <v>1711.1999999999998</v>
      </c>
      <c r="BG30" s="118">
        <f>D30*Navires!$B$6</f>
        <v>2852</v>
      </c>
      <c r="BH30" s="118">
        <f>E30*Navires!$B$6</f>
        <v>0</v>
      </c>
      <c r="BI30" s="118">
        <f>F30*Navires!$B$6</f>
        <v>3992.7999999999997</v>
      </c>
      <c r="BJ30" s="118">
        <f>G30*Navires!$B$6</f>
        <v>5704</v>
      </c>
      <c r="BK30" s="118">
        <f>H30*Navires!$B$6</f>
        <v>3992.7999999999997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31029.759999999998</v>
      </c>
    </row>
    <row r="31" spans="1:73" x14ac:dyDescent="0.25">
      <c r="A31" t="s">
        <v>58</v>
      </c>
      <c r="B31" s="2" t="s">
        <v>46</v>
      </c>
      <c r="C31" s="2">
        <v>0</v>
      </c>
      <c r="D31" s="2">
        <v>2</v>
      </c>
      <c r="E31" s="2">
        <v>0</v>
      </c>
      <c r="F31" s="2">
        <v>14</v>
      </c>
      <c r="G31" s="2">
        <v>13</v>
      </c>
      <c r="H31" s="2">
        <v>2</v>
      </c>
      <c r="I31" s="2"/>
      <c r="J31" s="2"/>
      <c r="K31" s="2"/>
      <c r="L31" s="2"/>
      <c r="M31" s="2"/>
      <c r="N31" s="2"/>
      <c r="O31" s="2"/>
      <c r="P31" s="2"/>
      <c r="Q31" s="32"/>
      <c r="R31" s="34">
        <f t="shared" si="6"/>
        <v>31</v>
      </c>
      <c r="S31" s="82">
        <f t="shared" si="7"/>
        <v>7.2429906542056068</v>
      </c>
      <c r="U31" s="2" t="s">
        <v>46</v>
      </c>
      <c r="V31" s="2">
        <f>C31*Navires!$B$2</f>
        <v>0</v>
      </c>
      <c r="W31" s="2">
        <f>D31*Navires!$C$2</f>
        <v>3910</v>
      </c>
      <c r="X31" s="2">
        <f>E31*Navires!$D$2</f>
        <v>0</v>
      </c>
      <c r="Y31" s="2">
        <f>F31*Navires!$E$2</f>
        <v>26320</v>
      </c>
      <c r="Z31" s="2">
        <f>G31*Navires!$F$2</f>
        <v>24648</v>
      </c>
      <c r="AA31" s="2">
        <f>H31*Navires!$G$2</f>
        <v>4000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58878</v>
      </c>
      <c r="AM31" s="118" t="s">
        <v>46</v>
      </c>
      <c r="AN31" s="118">
        <f>C31*Navires!$B$6</f>
        <v>0</v>
      </c>
      <c r="AO31" s="118">
        <f>D31*Navires!$C$6</f>
        <v>1140.8</v>
      </c>
      <c r="AP31" s="118">
        <f>E31*Navires!$D$6</f>
        <v>0</v>
      </c>
      <c r="AQ31" s="118">
        <f>F31*Navires!$E$6</f>
        <v>17192</v>
      </c>
      <c r="AR31" s="118">
        <f>G31*Navires!$F$6</f>
        <v>8850.4000000000015</v>
      </c>
      <c r="AS31" s="118">
        <f>H31*Navires!$G$6</f>
        <v>1360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14271.6</v>
      </c>
      <c r="BE31" s="118" t="s">
        <v>46</v>
      </c>
      <c r="BF31" s="118">
        <f>C31*Navires!$B$6</f>
        <v>0</v>
      </c>
      <c r="BG31" s="118">
        <f>D31*Navires!$B$6</f>
        <v>1140.8</v>
      </c>
      <c r="BH31" s="118">
        <f>E31*Navires!$B$6</f>
        <v>0</v>
      </c>
      <c r="BI31" s="118">
        <f>F31*Navires!$B$6</f>
        <v>7985.5999999999995</v>
      </c>
      <c r="BJ31" s="118">
        <f>G31*Navires!$B$6</f>
        <v>7415.2</v>
      </c>
      <c r="BK31" s="118">
        <f>H31*Navires!$B$6</f>
        <v>1140.8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12377.679999999998</v>
      </c>
    </row>
    <row r="32" spans="1:73" x14ac:dyDescent="0.25">
      <c r="A32" t="s">
        <v>59</v>
      </c>
      <c r="B32" s="2" t="s">
        <v>47</v>
      </c>
      <c r="C32" s="2">
        <v>8</v>
      </c>
      <c r="D32" s="2">
        <v>0</v>
      </c>
      <c r="E32" s="2">
        <v>0</v>
      </c>
      <c r="F32" s="2">
        <v>8</v>
      </c>
      <c r="G32" s="2">
        <v>7</v>
      </c>
      <c r="H32" s="2">
        <v>9</v>
      </c>
      <c r="I32" s="2"/>
      <c r="J32" s="2"/>
      <c r="K32" s="2"/>
      <c r="L32" s="2"/>
      <c r="M32" s="2"/>
      <c r="N32" s="2"/>
      <c r="O32" s="2"/>
      <c r="P32" s="2"/>
      <c r="Q32" s="32"/>
      <c r="R32" s="34">
        <f t="shared" si="6"/>
        <v>32</v>
      </c>
      <c r="S32" s="82">
        <f t="shared" si="7"/>
        <v>7.2234762979683982</v>
      </c>
      <c r="U32" s="2" t="s">
        <v>47</v>
      </c>
      <c r="V32" s="2">
        <f>C32*Navires!$B$2</f>
        <v>15640</v>
      </c>
      <c r="W32" s="2">
        <f>D32*Navires!$C$2</f>
        <v>0</v>
      </c>
      <c r="X32" s="2">
        <f>E32*Navires!$D$2</f>
        <v>0</v>
      </c>
      <c r="Y32" s="2">
        <f>F32*Navires!$E$2</f>
        <v>15040</v>
      </c>
      <c r="Z32" s="2">
        <f>G32*Navires!$F$2</f>
        <v>13272</v>
      </c>
      <c r="AA32" s="2">
        <f>H32*Navires!$G$2</f>
        <v>18000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61952</v>
      </c>
      <c r="AM32" s="118" t="s">
        <v>47</v>
      </c>
      <c r="AN32" s="118">
        <f>C32*Navires!$B$6</f>
        <v>4563.2</v>
      </c>
      <c r="AO32" s="118">
        <f>D32*Navires!$C$6</f>
        <v>0</v>
      </c>
      <c r="AP32" s="118">
        <f>E32*Navires!$D$6</f>
        <v>0</v>
      </c>
      <c r="AQ32" s="118">
        <f>F32*Navires!$E$6</f>
        <v>9824</v>
      </c>
      <c r="AR32" s="118">
        <f>G32*Navires!$F$6</f>
        <v>4765.6000000000004</v>
      </c>
      <c r="AS32" s="118">
        <f>H32*Navires!$G$6</f>
        <v>6120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12636.400000000001</v>
      </c>
      <c r="BE32" s="118" t="s">
        <v>47</v>
      </c>
      <c r="BF32" s="118">
        <f>C32*Navires!$B$6</f>
        <v>4563.2</v>
      </c>
      <c r="BG32" s="118">
        <f>D32*Navires!$B$6</f>
        <v>0</v>
      </c>
      <c r="BH32" s="118">
        <f>E32*Navires!$B$6</f>
        <v>0</v>
      </c>
      <c r="BI32" s="118">
        <f>F32*Navires!$B$6</f>
        <v>4563.2</v>
      </c>
      <c r="BJ32" s="118">
        <f>G32*Navires!$B$6</f>
        <v>3992.7999999999997</v>
      </c>
      <c r="BK32" s="118">
        <f>H32*Navires!$B$6</f>
        <v>5133.5999999999995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12776.96</v>
      </c>
    </row>
    <row r="33" spans="1:73" x14ac:dyDescent="0.25">
      <c r="A33" s="30"/>
      <c r="B33" s="34" t="s">
        <v>60</v>
      </c>
      <c r="C33" s="34">
        <f>SUM(C21:C32)</f>
        <v>29</v>
      </c>
      <c r="D33" s="34">
        <f t="shared" ref="D33:E33" si="8">SUM(D21:D32)</f>
        <v>41</v>
      </c>
      <c r="E33" s="34">
        <f t="shared" si="8"/>
        <v>11</v>
      </c>
      <c r="F33" s="34">
        <f>SUM(F21:F32)</f>
        <v>112</v>
      </c>
      <c r="G33" s="34">
        <f>SUM(G21:G32)</f>
        <v>113</v>
      </c>
      <c r="H33" s="34">
        <f t="shared" ref="H33:Q33" si="9">SUM(H21:H32)</f>
        <v>67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5</v>
      </c>
      <c r="Q33" s="34">
        <f t="shared" si="9"/>
        <v>0</v>
      </c>
      <c r="R33" s="34">
        <f t="shared" si="6"/>
        <v>378</v>
      </c>
      <c r="S33" s="82">
        <f t="shared" si="7"/>
        <v>7.2511030117015149</v>
      </c>
      <c r="U33" s="34" t="s">
        <v>60</v>
      </c>
      <c r="V33" s="34">
        <f>SUM(V21:V32)</f>
        <v>56695</v>
      </c>
      <c r="W33" s="34">
        <f t="shared" ref="W33:AJ33" si="10">SUM(W21:W32)</f>
        <v>80155</v>
      </c>
      <c r="X33" s="34">
        <f t="shared" si="10"/>
        <v>23166</v>
      </c>
      <c r="Y33" s="34">
        <f t="shared" si="10"/>
        <v>210560</v>
      </c>
      <c r="Z33" s="34">
        <f t="shared" si="10"/>
        <v>214248</v>
      </c>
      <c r="AA33" s="34">
        <f t="shared" si="10"/>
        <v>134000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7500</v>
      </c>
      <c r="AJ33" s="34">
        <f t="shared" si="10"/>
        <v>0</v>
      </c>
      <c r="AK33" s="121"/>
      <c r="AM33" s="34" t="s">
        <v>60</v>
      </c>
      <c r="AN33" s="34">
        <f>SUM(AN21:AN32)</f>
        <v>16541.600000000002</v>
      </c>
      <c r="AO33" s="34">
        <f t="shared" ref="AO33:BB33" si="11">SUM(AO21:AO32)</f>
        <v>23386.399999999998</v>
      </c>
      <c r="AP33" s="34">
        <f t="shared" si="11"/>
        <v>8800</v>
      </c>
      <c r="AQ33" s="34">
        <f t="shared" si="11"/>
        <v>137536</v>
      </c>
      <c r="AR33" s="34">
        <f t="shared" si="11"/>
        <v>76930.400000000009</v>
      </c>
      <c r="AS33" s="34">
        <f t="shared" si="11"/>
        <v>45560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3200</v>
      </c>
      <c r="BB33" s="34">
        <f t="shared" si="11"/>
        <v>0</v>
      </c>
      <c r="BC33" s="118"/>
      <c r="BE33" s="34" t="s">
        <v>60</v>
      </c>
      <c r="BF33" s="118">
        <f>C33*Navires!$B$6</f>
        <v>16541.599999999999</v>
      </c>
      <c r="BG33" s="118">
        <f>D33*Navires!$B$6</f>
        <v>23386.399999999998</v>
      </c>
      <c r="BH33" s="118">
        <f>E33*Navires!$B$6</f>
        <v>6274.4</v>
      </c>
      <c r="BI33" s="118">
        <f>F33*Navires!$B$6</f>
        <v>63884.799999999996</v>
      </c>
      <c r="BJ33" s="118">
        <f>G33*Navires!$B$6</f>
        <v>64455.199999999997</v>
      </c>
      <c r="BK33" s="118">
        <f>H33*Navires!$B$6</f>
        <v>38216.799999999996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2852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t="s">
        <v>101</v>
      </c>
      <c r="R48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F16" workbookViewId="0">
      <selection activeCell="BU16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2"/>
      <c r="R4" s="34">
        <f>SUM(C4:Q4)</f>
        <v>0</v>
      </c>
      <c r="S4" s="82">
        <f>R4/R36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t="s">
        <v>49</v>
      </c>
      <c r="B5" s="2" t="s">
        <v>37</v>
      </c>
      <c r="C5" s="2"/>
      <c r="D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2">
        <v>1</v>
      </c>
      <c r="R5" s="34">
        <f t="shared" ref="R5:R16" si="0">SUM(C5:Q5)</f>
        <v>1</v>
      </c>
      <c r="S5" s="82">
        <f t="shared" ref="S5:S16" si="1">R5/R37</f>
        <v>0.25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530</v>
      </c>
      <c r="AK5" s="35">
        <f>(SUM(V5:AJ5))*Générale!$B8</f>
        <v>530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1304</v>
      </c>
      <c r="BC5" s="185">
        <f>SUM(AN5:BB5)*Générale!$B$27</f>
        <v>652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570.4</v>
      </c>
      <c r="BU5" s="185">
        <f>SUM(BF5:BT5)*Générale!$B$23</f>
        <v>399.28</v>
      </c>
    </row>
    <row r="6" spans="1:73" x14ac:dyDescent="0.25">
      <c r="A6" t="s">
        <v>50</v>
      </c>
      <c r="B6" s="2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2"/>
      <c r="R6" s="34">
        <f t="shared" si="0"/>
        <v>0</v>
      </c>
      <c r="S6" s="82">
        <f t="shared" si="1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/>
      <c r="D7" s="2"/>
      <c r="E7" s="2"/>
      <c r="F7" s="2">
        <v>2</v>
      </c>
      <c r="G7" s="2">
        <v>2</v>
      </c>
      <c r="H7" s="2"/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4</v>
      </c>
      <c r="S7" s="82">
        <f t="shared" si="1"/>
        <v>0.93457943925233644</v>
      </c>
      <c r="U7" s="2" t="s">
        <v>39</v>
      </c>
      <c r="V7" s="2">
        <f>C7*Navires!$B$2</f>
        <v>0</v>
      </c>
      <c r="W7" s="2">
        <f>D7*Navires!$C$2</f>
        <v>0</v>
      </c>
      <c r="X7" s="2">
        <f>E7*Navires!$D$2</f>
        <v>0</v>
      </c>
      <c r="Y7" s="2">
        <f>F7*Navires!$E$2</f>
        <v>3760</v>
      </c>
      <c r="Z7" s="2">
        <f>G7*Navires!$F$2</f>
        <v>3792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7552</v>
      </c>
      <c r="AM7" s="118" t="s">
        <v>39</v>
      </c>
      <c r="AN7" s="118">
        <f>C7*Navires!$B$6</f>
        <v>0</v>
      </c>
      <c r="AO7" s="118">
        <f>D7*Navires!$C$6</f>
        <v>0</v>
      </c>
      <c r="AP7" s="118">
        <f>E7*Navires!$D$6</f>
        <v>0</v>
      </c>
      <c r="AQ7" s="118">
        <f>F7*Navires!$E$6</f>
        <v>2456</v>
      </c>
      <c r="AR7" s="118">
        <f>G7*Navires!$F$6</f>
        <v>1361.6000000000001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1908.8000000000002</v>
      </c>
      <c r="BE7" s="118" t="s">
        <v>39</v>
      </c>
      <c r="BF7" s="118">
        <f>C7*Navires!$B$6</f>
        <v>0</v>
      </c>
      <c r="BG7" s="118">
        <f>D7*Navires!$B$6</f>
        <v>0</v>
      </c>
      <c r="BH7" s="118">
        <f>E7*Navires!$B$6</f>
        <v>0</v>
      </c>
      <c r="BI7" s="118">
        <f>F7*Navires!$B$6</f>
        <v>1140.8</v>
      </c>
      <c r="BJ7" s="118">
        <f>G7*Navires!$B$6</f>
        <v>1140.8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3878.72</v>
      </c>
    </row>
    <row r="8" spans="1:73" x14ac:dyDescent="0.25">
      <c r="A8" t="s">
        <v>52</v>
      </c>
      <c r="B8" s="2" t="s">
        <v>40</v>
      </c>
      <c r="C8" s="2"/>
      <c r="D8" s="2"/>
      <c r="E8" s="2"/>
      <c r="F8" s="2">
        <v>3</v>
      </c>
      <c r="G8" s="2">
        <v>7</v>
      </c>
      <c r="H8" s="2"/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10</v>
      </c>
      <c r="S8" s="82">
        <f t="shared" si="1"/>
        <v>2.2573363431151243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5640</v>
      </c>
      <c r="Z8" s="2">
        <f>G8*Navires!$F$2</f>
        <v>13272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18912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3684</v>
      </c>
      <c r="AR8" s="118">
        <f>G8*Navires!$F$6</f>
        <v>4765.6000000000004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2534.88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1711.1999999999998</v>
      </c>
      <c r="BJ8" s="118">
        <f>G8*Navires!$B$6</f>
        <v>3992.7999999999997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9696.7999999999993</v>
      </c>
    </row>
    <row r="9" spans="1:73" x14ac:dyDescent="0.25">
      <c r="A9" t="s">
        <v>53</v>
      </c>
      <c r="B9" s="2" t="s">
        <v>41</v>
      </c>
      <c r="C9" s="2"/>
      <c r="D9" s="2">
        <v>1</v>
      </c>
      <c r="E9" s="2"/>
      <c r="F9" s="2">
        <v>4</v>
      </c>
      <c r="G9" s="2">
        <v>3</v>
      </c>
      <c r="H9" s="2">
        <v>1</v>
      </c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9</v>
      </c>
      <c r="S9" s="82">
        <f t="shared" si="1"/>
        <v>2.1028037383177569</v>
      </c>
      <c r="U9" s="2" t="s">
        <v>41</v>
      </c>
      <c r="V9" s="2">
        <f>C9*Navires!$B$2</f>
        <v>0</v>
      </c>
      <c r="W9" s="2">
        <f>D9*Navires!$C$2</f>
        <v>1955</v>
      </c>
      <c r="X9" s="2">
        <f>E9*Navires!$D$2</f>
        <v>0</v>
      </c>
      <c r="Y9" s="2">
        <f>F9*Navires!$E$2</f>
        <v>7520</v>
      </c>
      <c r="Z9" s="2">
        <f>G9*Navires!$F$2</f>
        <v>5688</v>
      </c>
      <c r="AA9" s="2">
        <f>H9*Navires!$G$2</f>
        <v>2000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17163</v>
      </c>
      <c r="AM9" s="118" t="s">
        <v>41</v>
      </c>
      <c r="AN9" s="118">
        <f>C9*Navires!$B$6</f>
        <v>0</v>
      </c>
      <c r="AO9" s="118">
        <f>D9*Navires!$C$6</f>
        <v>570.4</v>
      </c>
      <c r="AP9" s="118">
        <f>E9*Navires!$D$6</f>
        <v>0</v>
      </c>
      <c r="AQ9" s="118">
        <f>F9*Navires!$E$6</f>
        <v>4912</v>
      </c>
      <c r="AR9" s="118">
        <f>G9*Navires!$F$6</f>
        <v>2042.4</v>
      </c>
      <c r="AS9" s="118">
        <f>H9*Navires!$G$6</f>
        <v>680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2461.4399999999996</v>
      </c>
      <c r="BE9" s="118" t="s">
        <v>41</v>
      </c>
      <c r="BF9" s="118">
        <f>C9*Navires!$B$6</f>
        <v>0</v>
      </c>
      <c r="BG9" s="118">
        <f>D9*Navires!$B$6</f>
        <v>570.4</v>
      </c>
      <c r="BH9" s="118">
        <f>E9*Navires!$B$6</f>
        <v>0</v>
      </c>
      <c r="BI9" s="118">
        <f>F9*Navires!$B$6</f>
        <v>2281.6</v>
      </c>
      <c r="BJ9" s="118">
        <f>G9*Navires!$B$6</f>
        <v>1711.1999999999998</v>
      </c>
      <c r="BK9" s="118">
        <f>H9*Navires!$B$6</f>
        <v>570.4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8727.119999999999</v>
      </c>
    </row>
    <row r="10" spans="1:73" x14ac:dyDescent="0.25">
      <c r="A10" t="s">
        <v>54</v>
      </c>
      <c r="B10" s="2" t="s">
        <v>42</v>
      </c>
      <c r="C10" s="2">
        <v>5</v>
      </c>
      <c r="D10" s="2">
        <v>3</v>
      </c>
      <c r="E10" s="2"/>
      <c r="F10" s="2">
        <v>8</v>
      </c>
      <c r="G10" s="2">
        <v>5</v>
      </c>
      <c r="H10" s="2">
        <v>8</v>
      </c>
      <c r="I10" s="2"/>
      <c r="J10" s="2"/>
      <c r="K10" s="2"/>
      <c r="L10" s="2"/>
      <c r="M10" s="2"/>
      <c r="N10" s="2"/>
      <c r="O10" s="2"/>
      <c r="P10" s="2"/>
      <c r="Q10" s="32">
        <v>1</v>
      </c>
      <c r="R10" s="34">
        <f t="shared" si="0"/>
        <v>30</v>
      </c>
      <c r="S10" s="82">
        <f t="shared" si="1"/>
        <v>6.772009029345373</v>
      </c>
      <c r="U10" s="2" t="s">
        <v>42</v>
      </c>
      <c r="V10" s="2">
        <f>C10*Navires!$B$2</f>
        <v>9775</v>
      </c>
      <c r="W10" s="2">
        <f>D10*Navires!$C$2</f>
        <v>5865</v>
      </c>
      <c r="X10" s="2">
        <f>E10*Navires!$D$2</f>
        <v>0</v>
      </c>
      <c r="Y10" s="2">
        <f>F10*Navires!$E$2</f>
        <v>15040</v>
      </c>
      <c r="Z10" s="2">
        <f>G10*Navires!$F$2</f>
        <v>9480</v>
      </c>
      <c r="AA10" s="2">
        <f>H10*Navires!$G$2</f>
        <v>16000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530</v>
      </c>
      <c r="AK10" s="35">
        <f>(SUM(V10:AJ10))*Générale!$B13</f>
        <v>56690</v>
      </c>
      <c r="AM10" s="118" t="s">
        <v>42</v>
      </c>
      <c r="AN10" s="118">
        <f>C10*Navires!$B$6</f>
        <v>2852</v>
      </c>
      <c r="AO10" s="118">
        <f>D10*Navires!$C$6</f>
        <v>1711.1999999999998</v>
      </c>
      <c r="AP10" s="118">
        <f>E10*Navires!$D$6</f>
        <v>0</v>
      </c>
      <c r="AQ10" s="118">
        <f>F10*Navires!$E$6</f>
        <v>9824</v>
      </c>
      <c r="AR10" s="118">
        <f>G10*Navires!$F$6</f>
        <v>3404.0000000000005</v>
      </c>
      <c r="AS10" s="118">
        <f>H10*Navires!$G$6</f>
        <v>5440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1304</v>
      </c>
      <c r="BC10" s="185">
        <f>SUM(AN10:BB10)*Générale!$B$26</f>
        <v>7360.56</v>
      </c>
      <c r="BE10" s="118" t="s">
        <v>42</v>
      </c>
      <c r="BF10" s="118">
        <f>C10*Navires!$B$6</f>
        <v>2852</v>
      </c>
      <c r="BG10" s="118">
        <f>D10*Navires!$B$6</f>
        <v>1711.1999999999998</v>
      </c>
      <c r="BH10" s="118">
        <f>E10*Navires!$B$6</f>
        <v>0</v>
      </c>
      <c r="BI10" s="118">
        <f>F10*Navires!$B$6</f>
        <v>4563.2</v>
      </c>
      <c r="BJ10" s="118">
        <f>G10*Navires!$B$6</f>
        <v>2852</v>
      </c>
      <c r="BK10" s="118">
        <f>H10*Navires!$B$6</f>
        <v>4563.2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570.4</v>
      </c>
      <c r="BU10" s="185">
        <f>SUM(BF10:BT10)*Générale!$B$22</f>
        <v>29090.399999999998</v>
      </c>
    </row>
    <row r="11" spans="1:73" x14ac:dyDescent="0.25">
      <c r="A11" t="s">
        <v>55</v>
      </c>
      <c r="B11" s="2" t="s">
        <v>43</v>
      </c>
      <c r="C11" s="2">
        <v>4</v>
      </c>
      <c r="D11" s="2">
        <v>4</v>
      </c>
      <c r="E11" s="2"/>
      <c r="F11" s="2">
        <v>7</v>
      </c>
      <c r="G11" s="2">
        <v>6</v>
      </c>
      <c r="H11" s="2">
        <v>7</v>
      </c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28</v>
      </c>
      <c r="S11" s="82">
        <f t="shared" si="1"/>
        <v>6.3205417607223477</v>
      </c>
      <c r="U11" s="2" t="s">
        <v>43</v>
      </c>
      <c r="V11" s="2">
        <f>C11*Navires!$B$2</f>
        <v>7820</v>
      </c>
      <c r="W11" s="2">
        <f>D11*Navires!$C$2</f>
        <v>7820</v>
      </c>
      <c r="X11" s="2">
        <f>E11*Navires!$D$2</f>
        <v>0</v>
      </c>
      <c r="Y11" s="2">
        <f>F11*Navires!$E$2</f>
        <v>13160</v>
      </c>
      <c r="Z11" s="2">
        <f>G11*Navires!$F$2</f>
        <v>11376</v>
      </c>
      <c r="AA11" s="2">
        <f>H11*Navires!$G$2</f>
        <v>14000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54176</v>
      </c>
      <c r="AM11" s="118" t="s">
        <v>43</v>
      </c>
      <c r="AN11" s="118">
        <f>C11*Navires!$B$6</f>
        <v>2281.6</v>
      </c>
      <c r="AO11" s="118">
        <f>D11*Navires!$C$6</f>
        <v>2281.6</v>
      </c>
      <c r="AP11" s="118">
        <f>E11*Navires!$D$6</f>
        <v>0</v>
      </c>
      <c r="AQ11" s="118">
        <f>F11*Navires!$E$6</f>
        <v>8596</v>
      </c>
      <c r="AR11" s="118">
        <f>G11*Navires!$F$6</f>
        <v>4084.8</v>
      </c>
      <c r="AS11" s="118">
        <f>H11*Navires!$G$6</f>
        <v>4760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6601.2</v>
      </c>
      <c r="BE11" s="118" t="s">
        <v>43</v>
      </c>
      <c r="BF11" s="118">
        <f>C11*Navires!$B$6</f>
        <v>2281.6</v>
      </c>
      <c r="BG11" s="118">
        <f>D11*Navires!$B$6</f>
        <v>2281.6</v>
      </c>
      <c r="BH11" s="118">
        <f>E11*Navires!$B$6</f>
        <v>0</v>
      </c>
      <c r="BI11" s="118">
        <f>F11*Navires!$B$6</f>
        <v>3992.7999999999997</v>
      </c>
      <c r="BJ11" s="118">
        <f>G11*Navires!$B$6</f>
        <v>3422.3999999999996</v>
      </c>
      <c r="BK11" s="118">
        <f>H11*Navires!$B$6</f>
        <v>3992.7999999999997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27151.039999999997</v>
      </c>
    </row>
    <row r="12" spans="1:73" x14ac:dyDescent="0.25">
      <c r="A12" t="s">
        <v>56</v>
      </c>
      <c r="B12" s="2" t="s">
        <v>44</v>
      </c>
      <c r="C12" s="2"/>
      <c r="D12" s="2">
        <v>3</v>
      </c>
      <c r="E12" s="2"/>
      <c r="F12" s="2">
        <v>2</v>
      </c>
      <c r="G12" s="2">
        <v>2</v>
      </c>
      <c r="H12" s="2"/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7</v>
      </c>
      <c r="S12" s="82">
        <f t="shared" si="1"/>
        <v>1.6355140186915886</v>
      </c>
      <c r="U12" s="2" t="s">
        <v>44</v>
      </c>
      <c r="V12" s="2">
        <f>C12*Navires!$B$2</f>
        <v>0</v>
      </c>
      <c r="W12" s="2">
        <f>D12*Navires!$C$2</f>
        <v>5865</v>
      </c>
      <c r="X12" s="2">
        <f>E12*Navires!$D$2</f>
        <v>0</v>
      </c>
      <c r="Y12" s="2">
        <f>F12*Navires!$E$2</f>
        <v>3760</v>
      </c>
      <c r="Z12" s="2">
        <f>G12*Navires!$F$2</f>
        <v>3792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13417</v>
      </c>
      <c r="AM12" s="118" t="s">
        <v>44</v>
      </c>
      <c r="AN12" s="118">
        <f>C12*Navires!$B$6</f>
        <v>0</v>
      </c>
      <c r="AO12" s="118">
        <f>D12*Navires!$C$6</f>
        <v>1711.1999999999998</v>
      </c>
      <c r="AP12" s="118">
        <f>E12*Navires!$D$6</f>
        <v>0</v>
      </c>
      <c r="AQ12" s="118">
        <f>F12*Navires!$E$6</f>
        <v>2456</v>
      </c>
      <c r="AR12" s="118">
        <f>G12*Navires!$F$6</f>
        <v>1361.6000000000001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1658.64</v>
      </c>
      <c r="BE12" s="118" t="s">
        <v>44</v>
      </c>
      <c r="BF12" s="118">
        <f>C12*Navires!$B$6</f>
        <v>0</v>
      </c>
      <c r="BG12" s="118">
        <f>D12*Navires!$B$6</f>
        <v>1711.1999999999998</v>
      </c>
      <c r="BH12" s="118">
        <f>E12*Navires!$B$6</f>
        <v>0</v>
      </c>
      <c r="BI12" s="118">
        <f>F12*Navires!$B$6</f>
        <v>1140.8</v>
      </c>
      <c r="BJ12" s="118">
        <f>G12*Navires!$B$6</f>
        <v>1140.8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6787.76</v>
      </c>
    </row>
    <row r="13" spans="1:73" x14ac:dyDescent="0.25">
      <c r="A13" t="s">
        <v>57</v>
      </c>
      <c r="B13" s="2" t="s">
        <v>45</v>
      </c>
      <c r="C13" s="2"/>
      <c r="D13" s="2"/>
      <c r="E13" s="2"/>
      <c r="F13" s="2"/>
      <c r="G13" s="2">
        <v>1</v>
      </c>
      <c r="H13" s="2"/>
      <c r="I13" s="2"/>
      <c r="J13" s="2"/>
      <c r="K13" s="2"/>
      <c r="L13" s="2"/>
      <c r="M13" s="2"/>
      <c r="N13" s="2"/>
      <c r="O13" s="2"/>
      <c r="P13" s="2"/>
      <c r="Q13" s="32">
        <v>2</v>
      </c>
      <c r="R13" s="34">
        <f t="shared" si="0"/>
        <v>3</v>
      </c>
      <c r="S13" s="82">
        <f t="shared" si="1"/>
        <v>0.67720090293453727</v>
      </c>
      <c r="U13" s="2" t="s">
        <v>45</v>
      </c>
      <c r="V13" s="2">
        <f>C13*Navires!$B$2</f>
        <v>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1896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1060</v>
      </c>
      <c r="AK13" s="35">
        <f>(SUM(V13:AJ13))*Générale!$B16</f>
        <v>2956</v>
      </c>
      <c r="AM13" s="118" t="s">
        <v>45</v>
      </c>
      <c r="AN13" s="118">
        <f>C13*Navires!$B$6</f>
        <v>0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680.80000000000007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2608</v>
      </c>
      <c r="BC13" s="185">
        <f>SUM(AN13:BB13)*Générale!$B$27</f>
        <v>1644.4</v>
      </c>
      <c r="BE13" s="118" t="s">
        <v>45</v>
      </c>
      <c r="BF13" s="118">
        <f>C13*Navires!$B$6</f>
        <v>0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570.4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1140.8</v>
      </c>
      <c r="BU13" s="185">
        <f>SUM(BF13:BT13)*Générale!$B$22</f>
        <v>2909.0399999999995</v>
      </c>
    </row>
    <row r="14" spans="1:73" x14ac:dyDescent="0.25">
      <c r="A14" t="s">
        <v>58</v>
      </c>
      <c r="B14" s="2" t="s">
        <v>46</v>
      </c>
      <c r="C14" s="2"/>
      <c r="D14" s="2"/>
      <c r="E14" s="2"/>
      <c r="F14" s="2"/>
      <c r="G14" s="2">
        <v>1</v>
      </c>
      <c r="H14" s="2"/>
      <c r="I14" s="2"/>
      <c r="J14" s="2"/>
      <c r="K14" s="2"/>
      <c r="L14" s="2"/>
      <c r="M14" s="2"/>
      <c r="N14" s="2"/>
      <c r="O14" s="2"/>
      <c r="P14" s="2"/>
      <c r="Q14" s="32">
        <v>4</v>
      </c>
      <c r="R14" s="34">
        <f t="shared" si="0"/>
        <v>5</v>
      </c>
      <c r="S14" s="82">
        <f t="shared" si="1"/>
        <v>1.1682242990654206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1896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2120</v>
      </c>
      <c r="AK14" s="35">
        <f>(SUM(V14:AJ14))*Générale!$B17</f>
        <v>4016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680.80000000000007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5216</v>
      </c>
      <c r="BC14" s="185">
        <f>SUM(AN14:BB14)*Générale!$B$27</f>
        <v>2948.4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570.4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2281.6</v>
      </c>
      <c r="BU14" s="185">
        <f>SUM(BF14:BT14)*Générale!$B$23</f>
        <v>1996.3999999999999</v>
      </c>
    </row>
    <row r="15" spans="1:73" x14ac:dyDescent="0.25">
      <c r="A15" t="s">
        <v>59</v>
      </c>
      <c r="B15" s="2" t="s">
        <v>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2">
        <v>4</v>
      </c>
      <c r="R15" s="34">
        <f t="shared" si="0"/>
        <v>4</v>
      </c>
      <c r="S15" s="82">
        <f t="shared" si="1"/>
        <v>0.90293453724604977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2120</v>
      </c>
      <c r="AK15" s="35">
        <f>(SUM(V15:AJ15))*Générale!$B18</f>
        <v>2120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5216</v>
      </c>
      <c r="BC15" s="185">
        <f>SUM(AN15:BB15)*Générale!$B$27</f>
        <v>2608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2281.6</v>
      </c>
      <c r="BU15" s="185">
        <f>SUM(BF15:BT15)*Générale!$B$23</f>
        <v>1597.12</v>
      </c>
    </row>
    <row r="16" spans="1:73" x14ac:dyDescent="0.25">
      <c r="B16" s="29" t="s">
        <v>60</v>
      </c>
      <c r="C16" s="30">
        <f>SUM(C4:C15)</f>
        <v>9</v>
      </c>
      <c r="D16" s="30">
        <f t="shared" ref="D16:Q16" si="2">SUM(D4:D15)</f>
        <v>11</v>
      </c>
      <c r="E16" s="30">
        <f t="shared" si="2"/>
        <v>0</v>
      </c>
      <c r="F16" s="30">
        <f t="shared" si="2"/>
        <v>26</v>
      </c>
      <c r="G16" s="30">
        <f t="shared" si="2"/>
        <v>27</v>
      </c>
      <c r="H16" s="30">
        <f t="shared" si="2"/>
        <v>16</v>
      </c>
      <c r="I16" s="30">
        <f t="shared" si="2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12</v>
      </c>
      <c r="R16" s="34">
        <f t="shared" si="0"/>
        <v>101</v>
      </c>
      <c r="S16" s="82">
        <f t="shared" si="1"/>
        <v>1.9374640322271244</v>
      </c>
      <c r="U16" s="29" t="s">
        <v>60</v>
      </c>
      <c r="V16" s="30">
        <f>SUM(V4:V15)</f>
        <v>17595</v>
      </c>
      <c r="W16" s="30">
        <f t="shared" ref="W16:AJ16" si="3">SUM(W4:W15)</f>
        <v>21505</v>
      </c>
      <c r="X16" s="30">
        <f t="shared" si="3"/>
        <v>0</v>
      </c>
      <c r="Y16" s="30">
        <f t="shared" si="3"/>
        <v>48880</v>
      </c>
      <c r="Z16" s="30">
        <f t="shared" si="3"/>
        <v>51192</v>
      </c>
      <c r="AA16" s="30">
        <f t="shared" si="3"/>
        <v>32000</v>
      </c>
      <c r="AB16" s="30">
        <f t="shared" si="3"/>
        <v>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6360</v>
      </c>
      <c r="AM16" s="29" t="s">
        <v>60</v>
      </c>
      <c r="AN16" s="30">
        <f>SUM(AN4:AN15)</f>
        <v>5133.6000000000004</v>
      </c>
      <c r="AO16" s="30">
        <f t="shared" ref="AO16:BB16" si="4">SUM(AO4:AO15)</f>
        <v>6274.4</v>
      </c>
      <c r="AP16" s="30">
        <f t="shared" si="4"/>
        <v>0</v>
      </c>
      <c r="AQ16" s="30">
        <f t="shared" si="4"/>
        <v>31928</v>
      </c>
      <c r="AR16" s="30">
        <f t="shared" si="4"/>
        <v>18381.599999999999</v>
      </c>
      <c r="AS16" s="30">
        <f t="shared" si="4"/>
        <v>10880</v>
      </c>
      <c r="AT16" s="30">
        <f t="shared" si="4"/>
        <v>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15648</v>
      </c>
      <c r="BE16" s="29" t="s">
        <v>60</v>
      </c>
      <c r="BF16" s="30">
        <f>SUM(BF4:BF15)</f>
        <v>5133.6000000000004</v>
      </c>
      <c r="BG16" s="30">
        <f t="shared" ref="BG16:BT16" si="5">SUM(BG4:BG15)</f>
        <v>6274.4</v>
      </c>
      <c r="BH16" s="30">
        <f t="shared" si="5"/>
        <v>0</v>
      </c>
      <c r="BI16" s="30">
        <f t="shared" si="5"/>
        <v>14830.399999999998</v>
      </c>
      <c r="BJ16" s="30">
        <f t="shared" si="5"/>
        <v>15400.799999999997</v>
      </c>
      <c r="BK16" s="30">
        <f t="shared" si="5"/>
        <v>9126.4</v>
      </c>
      <c r="BL16" s="30">
        <f t="shared" si="5"/>
        <v>0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6844.7999999999993</v>
      </c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0</v>
      </c>
      <c r="S21" s="82">
        <f>R21/R36</f>
        <v>0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0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0</v>
      </c>
    </row>
    <row r="22" spans="1:73" x14ac:dyDescent="0.25">
      <c r="A22" t="s">
        <v>49</v>
      </c>
      <c r="B22" s="2" t="s">
        <v>37</v>
      </c>
      <c r="C22" s="2"/>
      <c r="D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2">
        <v>1</v>
      </c>
      <c r="R22" s="34">
        <f t="shared" ref="R22:R33" si="6">SUM(C22:Q22)</f>
        <v>1</v>
      </c>
      <c r="S22" s="82">
        <f t="shared" ref="S22:S33" si="7">R22/R37</f>
        <v>0.25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530</v>
      </c>
      <c r="AK22" s="35">
        <f>(SUM(V22:AJ22))*Générale!$B8</f>
        <v>530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1304</v>
      </c>
      <c r="BC22" s="185">
        <f>SUM(AN22:BB22)*Générale!$B$27</f>
        <v>652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570.4</v>
      </c>
      <c r="BU22" s="185">
        <f>SUM(BF22:BT22)*Générale!$B$23</f>
        <v>399.28</v>
      </c>
    </row>
    <row r="23" spans="1:73" x14ac:dyDescent="0.25">
      <c r="A23" t="s">
        <v>50</v>
      </c>
      <c r="B23" s="2" t="s">
        <v>38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2"/>
      <c r="R23" s="34">
        <f t="shared" si="6"/>
        <v>0</v>
      </c>
      <c r="S23" s="82">
        <f t="shared" si="7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/>
      <c r="D24" s="2"/>
      <c r="E24" s="2"/>
      <c r="F24" s="2">
        <v>2</v>
      </c>
      <c r="G24" s="2">
        <v>2</v>
      </c>
      <c r="H24" s="2"/>
      <c r="I24" s="2"/>
      <c r="J24" s="2"/>
      <c r="K24" s="2"/>
      <c r="L24" s="2"/>
      <c r="M24" s="2"/>
      <c r="N24" s="2"/>
      <c r="O24" s="2"/>
      <c r="P24" s="2"/>
      <c r="Q24" s="32"/>
      <c r="R24" s="34">
        <f t="shared" si="6"/>
        <v>4</v>
      </c>
      <c r="S24" s="82">
        <f t="shared" si="7"/>
        <v>0.93457943925233644</v>
      </c>
      <c r="U24" s="2" t="s">
        <v>39</v>
      </c>
      <c r="V24" s="2">
        <f>C24*Navires!$B$2</f>
        <v>0</v>
      </c>
      <c r="W24" s="2">
        <f>D24*Navires!$C$2</f>
        <v>0</v>
      </c>
      <c r="X24" s="2">
        <f>E24*Navires!$D$2</f>
        <v>0</v>
      </c>
      <c r="Y24" s="2">
        <f>F24*Navires!$E$2</f>
        <v>3760</v>
      </c>
      <c r="Z24" s="2">
        <f>G24*Navires!$F$2</f>
        <v>3792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7552</v>
      </c>
      <c r="AM24" s="118" t="s">
        <v>39</v>
      </c>
      <c r="AN24" s="118">
        <f>C24*Navires!$B$6</f>
        <v>0</v>
      </c>
      <c r="AO24" s="118">
        <f>D24*Navires!$C$6</f>
        <v>0</v>
      </c>
      <c r="AP24" s="118">
        <f>E24*Navires!$D$6</f>
        <v>0</v>
      </c>
      <c r="AQ24" s="118">
        <f>F24*Navires!$E$6</f>
        <v>2456</v>
      </c>
      <c r="AR24" s="118">
        <f>G24*Navires!$F$6</f>
        <v>1361.6000000000001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1908.8000000000002</v>
      </c>
      <c r="BE24" s="118" t="s">
        <v>39</v>
      </c>
      <c r="BF24" s="118">
        <f>C24*Navires!$B$6</f>
        <v>0</v>
      </c>
      <c r="BG24" s="118">
        <f>D24*Navires!$B$6</f>
        <v>0</v>
      </c>
      <c r="BH24" s="118">
        <f>E24*Navires!$B$6</f>
        <v>0</v>
      </c>
      <c r="BI24" s="118">
        <f>F24*Navires!$B$6</f>
        <v>1140.8</v>
      </c>
      <c r="BJ24" s="118">
        <f>G24*Navires!$B$6</f>
        <v>1140.8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3878.72</v>
      </c>
    </row>
    <row r="25" spans="1:73" x14ac:dyDescent="0.25">
      <c r="A25" t="s">
        <v>52</v>
      </c>
      <c r="B25" s="2" t="s">
        <v>40</v>
      </c>
      <c r="C25" s="2"/>
      <c r="D25" s="2"/>
      <c r="E25" s="2"/>
      <c r="F25" s="2">
        <v>3</v>
      </c>
      <c r="G25" s="2">
        <v>7</v>
      </c>
      <c r="H25" s="2"/>
      <c r="I25" s="2"/>
      <c r="J25" s="2"/>
      <c r="K25" s="2"/>
      <c r="L25" s="2"/>
      <c r="M25" s="2"/>
      <c r="N25" s="2"/>
      <c r="O25" s="2"/>
      <c r="P25" s="2"/>
      <c r="Q25" s="32"/>
      <c r="R25" s="34">
        <f t="shared" si="6"/>
        <v>10</v>
      </c>
      <c r="S25" s="82">
        <f t="shared" si="7"/>
        <v>2.2573363431151243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5640</v>
      </c>
      <c r="Z25" s="2">
        <f>G25*Navires!$F$2</f>
        <v>13272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18912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3684</v>
      </c>
      <c r="AR25" s="118">
        <f>G25*Navires!$F$6</f>
        <v>4765.6000000000004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2534.88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1711.1999999999998</v>
      </c>
      <c r="BJ25" s="118">
        <f>G25*Navires!$B$6</f>
        <v>3992.7999999999997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9696.7999999999993</v>
      </c>
    </row>
    <row r="26" spans="1:73" x14ac:dyDescent="0.25">
      <c r="A26" t="s">
        <v>53</v>
      </c>
      <c r="B26" s="2" t="s">
        <v>41</v>
      </c>
      <c r="C26" s="2"/>
      <c r="D26" s="2">
        <v>2</v>
      </c>
      <c r="E26" s="2"/>
      <c r="F26" s="2">
        <v>4</v>
      </c>
      <c r="G26" s="2">
        <v>3</v>
      </c>
      <c r="H26" s="2">
        <v>1</v>
      </c>
      <c r="I26" s="2"/>
      <c r="J26" s="2"/>
      <c r="K26" s="2"/>
      <c r="L26" s="2"/>
      <c r="M26" s="2"/>
      <c r="N26" s="2"/>
      <c r="O26" s="2"/>
      <c r="P26" s="2"/>
      <c r="Q26" s="32"/>
      <c r="R26" s="34">
        <f t="shared" si="6"/>
        <v>10</v>
      </c>
      <c r="S26" s="82">
        <f t="shared" si="7"/>
        <v>2.3364485981308412</v>
      </c>
      <c r="U26" s="2" t="s">
        <v>41</v>
      </c>
      <c r="V26" s="2">
        <f>C26*Navires!$B$2</f>
        <v>0</v>
      </c>
      <c r="W26" s="2">
        <f>D26*Navires!$C$2</f>
        <v>3910</v>
      </c>
      <c r="X26" s="2">
        <f>E26*Navires!$D$2</f>
        <v>0</v>
      </c>
      <c r="Y26" s="2">
        <f>F26*Navires!$E$2</f>
        <v>7520</v>
      </c>
      <c r="Z26" s="2">
        <f>G26*Navires!$F$2</f>
        <v>5688</v>
      </c>
      <c r="AA26" s="2">
        <f>H26*Navires!$G$2</f>
        <v>2000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19118</v>
      </c>
      <c r="AM26" s="118" t="s">
        <v>41</v>
      </c>
      <c r="AN26" s="118">
        <f>C26*Navires!$B$6</f>
        <v>0</v>
      </c>
      <c r="AO26" s="118">
        <f>D26*Navires!$C$6</f>
        <v>1140.8</v>
      </c>
      <c r="AP26" s="118">
        <f>E26*Navires!$D$6</f>
        <v>0</v>
      </c>
      <c r="AQ26" s="118">
        <f>F26*Navires!$E$6</f>
        <v>4912</v>
      </c>
      <c r="AR26" s="118">
        <f>G26*Navires!$F$6</f>
        <v>2042.4</v>
      </c>
      <c r="AS26" s="118">
        <f>H26*Navires!$G$6</f>
        <v>680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2632.56</v>
      </c>
      <c r="BE26" s="118" t="s">
        <v>41</v>
      </c>
      <c r="BF26" s="118">
        <f>C26*Navires!$B$6</f>
        <v>0</v>
      </c>
      <c r="BG26" s="118">
        <f>D26*Navires!$B$6</f>
        <v>1140.8</v>
      </c>
      <c r="BH26" s="118">
        <f>E26*Navires!$B$6</f>
        <v>0</v>
      </c>
      <c r="BI26" s="118">
        <f>F26*Navires!$B$6</f>
        <v>2281.6</v>
      </c>
      <c r="BJ26" s="118">
        <f>G26*Navires!$B$6</f>
        <v>1711.1999999999998</v>
      </c>
      <c r="BK26" s="118">
        <f>H26*Navires!$B$6</f>
        <v>570.4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9696.7999999999975</v>
      </c>
    </row>
    <row r="27" spans="1:73" x14ac:dyDescent="0.25">
      <c r="A27" t="s">
        <v>54</v>
      </c>
      <c r="B27" s="2" t="s">
        <v>42</v>
      </c>
      <c r="C27" s="2">
        <v>5</v>
      </c>
      <c r="D27" s="2">
        <v>5</v>
      </c>
      <c r="E27" s="2"/>
      <c r="F27" s="2">
        <v>7</v>
      </c>
      <c r="G27" s="2">
        <v>4</v>
      </c>
      <c r="H27" s="2">
        <v>4</v>
      </c>
      <c r="I27" s="2"/>
      <c r="J27" s="2"/>
      <c r="K27" s="2"/>
      <c r="L27" s="2"/>
      <c r="M27" s="2"/>
      <c r="N27" s="2"/>
      <c r="O27" s="2"/>
      <c r="P27" s="2"/>
      <c r="Q27" s="32"/>
      <c r="R27" s="34">
        <f t="shared" si="6"/>
        <v>25</v>
      </c>
      <c r="S27" s="82">
        <f t="shared" si="7"/>
        <v>5.6433408577878108</v>
      </c>
      <c r="U27" s="2" t="s">
        <v>42</v>
      </c>
      <c r="V27" s="2">
        <f>C27*Navires!$B$2</f>
        <v>9775</v>
      </c>
      <c r="W27" s="2">
        <f>D27*Navires!$C$2</f>
        <v>9775</v>
      </c>
      <c r="X27" s="2">
        <f>E27*Navires!$D$2</f>
        <v>0</v>
      </c>
      <c r="Y27" s="2">
        <f>F27*Navires!$E$2</f>
        <v>13160</v>
      </c>
      <c r="Z27" s="2">
        <f>G27*Navires!$F$2</f>
        <v>7584</v>
      </c>
      <c r="AA27" s="2">
        <f>H27*Navires!$G$2</f>
        <v>8000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48294</v>
      </c>
      <c r="AM27" s="118" t="s">
        <v>42</v>
      </c>
      <c r="AN27" s="118">
        <f>C27*Navires!$B$6</f>
        <v>2852</v>
      </c>
      <c r="AO27" s="118">
        <f>D27*Navires!$C$6</f>
        <v>2852</v>
      </c>
      <c r="AP27" s="118">
        <f>E27*Navires!$D$6</f>
        <v>0</v>
      </c>
      <c r="AQ27" s="118">
        <f>F27*Navires!$E$6</f>
        <v>8596</v>
      </c>
      <c r="AR27" s="118">
        <f>G27*Navires!$F$6</f>
        <v>2723.2000000000003</v>
      </c>
      <c r="AS27" s="118">
        <f>H27*Navires!$G$6</f>
        <v>2720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5922.96</v>
      </c>
      <c r="BE27" s="118" t="s">
        <v>42</v>
      </c>
      <c r="BF27" s="118">
        <f>C27*Navires!$B$6</f>
        <v>2852</v>
      </c>
      <c r="BG27" s="118">
        <f>D27*Navires!$B$6</f>
        <v>2852</v>
      </c>
      <c r="BH27" s="118">
        <f>E27*Navires!$B$6</f>
        <v>0</v>
      </c>
      <c r="BI27" s="118">
        <f>F27*Navires!$B$6</f>
        <v>3992.7999999999997</v>
      </c>
      <c r="BJ27" s="118">
        <f>G27*Navires!$B$6</f>
        <v>2281.6</v>
      </c>
      <c r="BK27" s="118">
        <f>H27*Navires!$B$6</f>
        <v>2281.6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24242</v>
      </c>
    </row>
    <row r="28" spans="1:73" x14ac:dyDescent="0.25">
      <c r="A28" t="s">
        <v>55</v>
      </c>
      <c r="B28" s="2" t="s">
        <v>43</v>
      </c>
      <c r="C28" s="2">
        <v>4</v>
      </c>
      <c r="D28" s="2">
        <v>4</v>
      </c>
      <c r="E28" s="2"/>
      <c r="F28" s="2">
        <v>7</v>
      </c>
      <c r="G28" s="2">
        <v>6</v>
      </c>
      <c r="H28" s="2">
        <v>5</v>
      </c>
      <c r="I28" s="2"/>
      <c r="J28" s="2"/>
      <c r="K28" s="2"/>
      <c r="L28" s="2"/>
      <c r="M28" s="2"/>
      <c r="N28" s="2"/>
      <c r="O28" s="2"/>
      <c r="P28" s="2"/>
      <c r="Q28" s="32">
        <v>1</v>
      </c>
      <c r="R28" s="34">
        <f t="shared" si="6"/>
        <v>27</v>
      </c>
      <c r="S28" s="82">
        <f t="shared" si="7"/>
        <v>6.094808126410836</v>
      </c>
      <c r="U28" s="2" t="s">
        <v>43</v>
      </c>
      <c r="V28" s="2">
        <f>C28*Navires!$B$2</f>
        <v>7820</v>
      </c>
      <c r="W28" s="2">
        <f>D28*Navires!$C$2</f>
        <v>7820</v>
      </c>
      <c r="X28" s="2">
        <f>E28*Navires!$D$2</f>
        <v>0</v>
      </c>
      <c r="Y28" s="2">
        <f>F28*Navires!$E$2</f>
        <v>13160</v>
      </c>
      <c r="Z28" s="2">
        <f>G28*Navires!$F$2</f>
        <v>11376</v>
      </c>
      <c r="AA28" s="2">
        <f>H28*Navires!$G$2</f>
        <v>10000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530</v>
      </c>
      <c r="AK28" s="35">
        <f>(SUM(V28:AJ28))*Générale!$B14</f>
        <v>50706</v>
      </c>
      <c r="AM28" s="118" t="s">
        <v>43</v>
      </c>
      <c r="AN28" s="118">
        <f>C28*Navires!$B$6</f>
        <v>2281.6</v>
      </c>
      <c r="AO28" s="118">
        <f>D28*Navires!$C$6</f>
        <v>2281.6</v>
      </c>
      <c r="AP28" s="118">
        <f>E28*Navires!$D$6</f>
        <v>0</v>
      </c>
      <c r="AQ28" s="118">
        <f>F28*Navires!$E$6</f>
        <v>8596</v>
      </c>
      <c r="AR28" s="118">
        <f>G28*Navires!$F$6</f>
        <v>4084.8</v>
      </c>
      <c r="AS28" s="118">
        <f>H28*Navires!$G$6</f>
        <v>3400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1304</v>
      </c>
      <c r="BC28" s="185">
        <f>SUM(AN28:BB28)*Générale!$B$26</f>
        <v>6584.4</v>
      </c>
      <c r="BE28" s="118" t="s">
        <v>43</v>
      </c>
      <c r="BF28" s="118">
        <f>C28*Navires!$B$6</f>
        <v>2281.6</v>
      </c>
      <c r="BG28" s="118">
        <f>D28*Navires!$B$6</f>
        <v>2281.6</v>
      </c>
      <c r="BH28" s="118">
        <f>E28*Navires!$B$6</f>
        <v>0</v>
      </c>
      <c r="BI28" s="118">
        <f>F28*Navires!$B$6</f>
        <v>3992.7999999999997</v>
      </c>
      <c r="BJ28" s="118">
        <f>G28*Navires!$B$6</f>
        <v>3422.3999999999996</v>
      </c>
      <c r="BK28" s="118">
        <f>H28*Navires!$B$6</f>
        <v>2852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570.4</v>
      </c>
      <c r="BU28" s="185">
        <f>SUM(BF28:BT28)*Générale!$B$22</f>
        <v>26181.359999999997</v>
      </c>
    </row>
    <row r="29" spans="1:73" x14ac:dyDescent="0.25">
      <c r="A29" t="s">
        <v>56</v>
      </c>
      <c r="B29" s="2" t="s">
        <v>44</v>
      </c>
      <c r="C29" s="2">
        <v>1</v>
      </c>
      <c r="D29" s="2">
        <v>5</v>
      </c>
      <c r="E29" s="2"/>
      <c r="F29" s="2">
        <v>1</v>
      </c>
      <c r="G29" s="2">
        <v>2</v>
      </c>
      <c r="H29" s="2"/>
      <c r="I29" s="2"/>
      <c r="J29" s="2"/>
      <c r="K29" s="2"/>
      <c r="L29" s="2"/>
      <c r="M29" s="2"/>
      <c r="N29" s="2"/>
      <c r="O29" s="2"/>
      <c r="P29" s="2"/>
      <c r="Q29" s="32"/>
      <c r="R29" s="34">
        <f t="shared" si="6"/>
        <v>9</v>
      </c>
      <c r="S29" s="82">
        <f t="shared" si="7"/>
        <v>2.1028037383177569</v>
      </c>
      <c r="U29" s="2" t="s">
        <v>44</v>
      </c>
      <c r="V29" s="2">
        <f>C29*Navires!$B$2</f>
        <v>1955</v>
      </c>
      <c r="W29" s="2">
        <f>D29*Navires!$C$2</f>
        <v>9775</v>
      </c>
      <c r="X29" s="2">
        <f>E29*Navires!$D$2</f>
        <v>0</v>
      </c>
      <c r="Y29" s="2">
        <f>F29*Navires!$E$2</f>
        <v>1880</v>
      </c>
      <c r="Z29" s="2">
        <f>G29*Navires!$F$2</f>
        <v>3792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17402</v>
      </c>
      <c r="AM29" s="118" t="s">
        <v>44</v>
      </c>
      <c r="AN29" s="118">
        <f>C29*Navires!$B$6</f>
        <v>570.4</v>
      </c>
      <c r="AO29" s="118">
        <f>D29*Navires!$C$6</f>
        <v>2852</v>
      </c>
      <c r="AP29" s="118">
        <f>E29*Navires!$D$6</f>
        <v>0</v>
      </c>
      <c r="AQ29" s="118">
        <f>F29*Navires!$E$6</f>
        <v>1228</v>
      </c>
      <c r="AR29" s="118">
        <f>G29*Navires!$F$6</f>
        <v>1361.6000000000001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1803.6</v>
      </c>
      <c r="BE29" s="118" t="s">
        <v>44</v>
      </c>
      <c r="BF29" s="118">
        <f>C29*Navires!$B$6</f>
        <v>570.4</v>
      </c>
      <c r="BG29" s="118">
        <f>D29*Navires!$B$6</f>
        <v>2852</v>
      </c>
      <c r="BH29" s="118">
        <f>E29*Navires!$B$6</f>
        <v>0</v>
      </c>
      <c r="BI29" s="118">
        <f>F29*Navires!$B$6</f>
        <v>570.4</v>
      </c>
      <c r="BJ29" s="118">
        <f>G29*Navires!$B$6</f>
        <v>1140.8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8727.1200000000008</v>
      </c>
    </row>
    <row r="30" spans="1:73" x14ac:dyDescent="0.25">
      <c r="A30" t="s">
        <v>57</v>
      </c>
      <c r="B30" s="2" t="s">
        <v>45</v>
      </c>
      <c r="C30" s="2"/>
      <c r="D30" s="2"/>
      <c r="E30" s="2"/>
      <c r="F30" s="2"/>
      <c r="G30" s="2">
        <v>1</v>
      </c>
      <c r="H30" s="2"/>
      <c r="I30" s="2"/>
      <c r="J30" s="2"/>
      <c r="K30" s="2"/>
      <c r="L30" s="2"/>
      <c r="M30" s="2"/>
      <c r="N30" s="2"/>
      <c r="O30" s="2"/>
      <c r="P30" s="2"/>
      <c r="Q30" s="32">
        <v>2</v>
      </c>
      <c r="R30" s="34">
        <f t="shared" si="6"/>
        <v>3</v>
      </c>
      <c r="S30" s="82">
        <f t="shared" si="7"/>
        <v>0.67720090293453727</v>
      </c>
      <c r="U30" s="2" t="s">
        <v>45</v>
      </c>
      <c r="V30" s="2">
        <f>C30*Navires!$B$2</f>
        <v>0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1896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1060</v>
      </c>
      <c r="AK30" s="35">
        <f>(SUM(V30:AJ30))*Générale!$B16</f>
        <v>2956</v>
      </c>
      <c r="AM30" s="118" t="s">
        <v>45</v>
      </c>
      <c r="AN30" s="118">
        <f>C30*Navires!$B$6</f>
        <v>0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680.80000000000007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2608</v>
      </c>
      <c r="BC30" s="185">
        <f>SUM(AN30:BB30)*Générale!$B$27</f>
        <v>1644.4</v>
      </c>
      <c r="BE30" s="118" t="s">
        <v>45</v>
      </c>
      <c r="BF30" s="118">
        <f>C30*Navires!$B$6</f>
        <v>0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570.4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1140.8</v>
      </c>
      <c r="BU30" s="185">
        <f>SUM(BF30:BT30)*Générale!$B$22</f>
        <v>2909.0399999999995</v>
      </c>
    </row>
    <row r="31" spans="1:73" x14ac:dyDescent="0.25">
      <c r="A31" t="s">
        <v>58</v>
      </c>
      <c r="B31" s="2" t="s">
        <v>46</v>
      </c>
      <c r="C31" s="2"/>
      <c r="D31" s="2"/>
      <c r="E31" s="2"/>
      <c r="F31" s="2"/>
      <c r="G31" s="2">
        <v>1</v>
      </c>
      <c r="H31" s="2"/>
      <c r="I31" s="2"/>
      <c r="J31" s="2"/>
      <c r="K31" s="2"/>
      <c r="L31" s="2"/>
      <c r="M31" s="2"/>
      <c r="N31" s="2"/>
      <c r="O31" s="2"/>
      <c r="P31" s="2"/>
      <c r="Q31" s="32">
        <v>4</v>
      </c>
      <c r="R31" s="34">
        <f t="shared" si="6"/>
        <v>5</v>
      </c>
      <c r="S31" s="82">
        <f t="shared" si="7"/>
        <v>1.1682242990654206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1896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2120</v>
      </c>
      <c r="AK31" s="35">
        <f>(SUM(V31:AJ31))*Générale!$B17</f>
        <v>4016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680.80000000000007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5216</v>
      </c>
      <c r="BC31" s="185">
        <f>SUM(AN31:BB31)*Générale!$B$27</f>
        <v>2948.4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570.4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2281.6</v>
      </c>
      <c r="BU31" s="185">
        <f>SUM(BF31:BT31)*Générale!$B$23</f>
        <v>1996.3999999999999</v>
      </c>
    </row>
    <row r="32" spans="1:73" x14ac:dyDescent="0.25">
      <c r="A32" t="s">
        <v>59</v>
      </c>
      <c r="B32" s="2" t="s">
        <v>47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2">
        <v>4</v>
      </c>
      <c r="R32" s="34">
        <f t="shared" si="6"/>
        <v>4</v>
      </c>
      <c r="S32" s="82">
        <f t="shared" si="7"/>
        <v>0.90293453724604977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2120</v>
      </c>
      <c r="AK32" s="35">
        <f>(SUM(V32:AJ32))*Générale!$B18</f>
        <v>2120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5216</v>
      </c>
      <c r="BC32" s="185">
        <f>SUM(AN32:BB32)*Générale!$B$27</f>
        <v>2608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2281.6</v>
      </c>
      <c r="BU32" s="185">
        <f>SUM(BF32:BT32)*Générale!$B$23</f>
        <v>1597.12</v>
      </c>
    </row>
    <row r="33" spans="1:73" x14ac:dyDescent="0.25">
      <c r="A33" s="30"/>
      <c r="B33" s="34" t="s">
        <v>60</v>
      </c>
      <c r="C33" s="34">
        <f>SUM(C21:C32)</f>
        <v>10</v>
      </c>
      <c r="D33" s="34">
        <f t="shared" ref="D33:E33" si="8">SUM(D21:D32)</f>
        <v>16</v>
      </c>
      <c r="E33" s="34">
        <f t="shared" si="8"/>
        <v>0</v>
      </c>
      <c r="F33" s="34">
        <f>SUM(F21:F32)</f>
        <v>24</v>
      </c>
      <c r="G33" s="34">
        <f>SUM(G21:G32)</f>
        <v>26</v>
      </c>
      <c r="H33" s="34">
        <f t="shared" ref="H33:Q33" si="9">SUM(H21:H32)</f>
        <v>10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12</v>
      </c>
      <c r="R33" s="34">
        <f t="shared" si="6"/>
        <v>98</v>
      </c>
      <c r="S33" s="82">
        <f t="shared" si="7"/>
        <v>1.8799155956263187</v>
      </c>
      <c r="U33" s="34" t="s">
        <v>60</v>
      </c>
      <c r="V33" s="34">
        <f>SUM(V21:V32)</f>
        <v>19550</v>
      </c>
      <c r="W33" s="34">
        <f t="shared" ref="W33:AJ33" si="10">SUM(W21:W32)</f>
        <v>31280</v>
      </c>
      <c r="X33" s="34">
        <f t="shared" si="10"/>
        <v>0</v>
      </c>
      <c r="Y33" s="34">
        <f t="shared" si="10"/>
        <v>45120</v>
      </c>
      <c r="Z33" s="34">
        <f t="shared" si="10"/>
        <v>49296</v>
      </c>
      <c r="AA33" s="34">
        <f t="shared" si="10"/>
        <v>20000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6360</v>
      </c>
      <c r="AK33" s="121"/>
      <c r="AM33" s="34" t="s">
        <v>60</v>
      </c>
      <c r="AN33" s="34">
        <f>SUM(AN21:AN32)</f>
        <v>5704</v>
      </c>
      <c r="AO33" s="34">
        <f t="shared" ref="AO33:BB33" si="11">SUM(AO21:AO32)</f>
        <v>9126.4</v>
      </c>
      <c r="AP33" s="34">
        <f t="shared" si="11"/>
        <v>0</v>
      </c>
      <c r="AQ33" s="34">
        <f t="shared" si="11"/>
        <v>29472</v>
      </c>
      <c r="AR33" s="34">
        <f t="shared" si="11"/>
        <v>17700.800000000003</v>
      </c>
      <c r="AS33" s="34">
        <f t="shared" si="11"/>
        <v>6800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15648</v>
      </c>
      <c r="BC33" s="118"/>
      <c r="BE33" s="34" t="s">
        <v>60</v>
      </c>
      <c r="BF33" s="118">
        <f>C33*Navires!$B$6</f>
        <v>5704</v>
      </c>
      <c r="BG33" s="118">
        <f>D33*Navires!$B$6</f>
        <v>9126.4</v>
      </c>
      <c r="BH33" s="118">
        <f>E33*Navires!$B$6</f>
        <v>0</v>
      </c>
      <c r="BI33" s="118">
        <f>F33*Navires!$B$6</f>
        <v>13689.599999999999</v>
      </c>
      <c r="BJ33" s="118">
        <f>G33*Navires!$B$6</f>
        <v>14830.4</v>
      </c>
      <c r="BK33" s="118">
        <f>H33*Navires!$B$6</f>
        <v>5704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6844.7999999999993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0"/>
  <sheetViews>
    <sheetView topLeftCell="BF1" workbookViewId="0">
      <selection activeCell="BU1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2"/>
      <c r="R4" s="34">
        <f>SUM(C4:Q4)</f>
        <v>0</v>
      </c>
      <c r="S4" s="82">
        <f>R4/R36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t="s">
        <v>49</v>
      </c>
      <c r="B5" s="2" t="s">
        <v>37</v>
      </c>
      <c r="C5" s="2"/>
      <c r="D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0</v>
      </c>
      <c r="S5" s="82">
        <f t="shared" ref="S5:S16" si="1">R5/R37</f>
        <v>0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0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0</v>
      </c>
    </row>
    <row r="6" spans="1:73" x14ac:dyDescent="0.25">
      <c r="A6" t="s">
        <v>50</v>
      </c>
      <c r="B6" s="2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2"/>
      <c r="R6" s="34">
        <f t="shared" si="0"/>
        <v>0</v>
      </c>
      <c r="S6" s="82">
        <f t="shared" si="1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0</v>
      </c>
      <c r="S7" s="82">
        <f t="shared" si="1"/>
        <v>0</v>
      </c>
      <c r="U7" s="2" t="s">
        <v>39</v>
      </c>
      <c r="V7" s="2">
        <f>C7*Navires!$B$2</f>
        <v>0</v>
      </c>
      <c r="W7" s="2">
        <f>D7*Navires!$C$2</f>
        <v>0</v>
      </c>
      <c r="X7" s="2">
        <f>E7*Navires!$D$2</f>
        <v>0</v>
      </c>
      <c r="Y7" s="2">
        <f>F7*Navires!$E$2</f>
        <v>0</v>
      </c>
      <c r="Z7" s="2">
        <f>G7*Navires!$F$2</f>
        <v>0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0</v>
      </c>
      <c r="AM7" s="118" t="s">
        <v>39</v>
      </c>
      <c r="AN7" s="118">
        <f>C7*Navires!$B$6</f>
        <v>0</v>
      </c>
      <c r="AO7" s="118">
        <f>D7*Navires!$C$6</f>
        <v>0</v>
      </c>
      <c r="AP7" s="118">
        <f>E7*Navires!$D$6</f>
        <v>0</v>
      </c>
      <c r="AQ7" s="118">
        <f>F7*Navires!$E$6</f>
        <v>0</v>
      </c>
      <c r="AR7" s="118">
        <f>G7*Navires!$F$6</f>
        <v>0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0</v>
      </c>
      <c r="BE7" s="118" t="s">
        <v>39</v>
      </c>
      <c r="BF7" s="118">
        <f>C7*Navires!$B$6</f>
        <v>0</v>
      </c>
      <c r="BG7" s="118">
        <f>D7*Navires!$B$6</f>
        <v>0</v>
      </c>
      <c r="BH7" s="118">
        <f>E7*Navires!$B$6</f>
        <v>0</v>
      </c>
      <c r="BI7" s="118">
        <f>F7*Navires!$B$6</f>
        <v>0</v>
      </c>
      <c r="BJ7" s="118">
        <f>G7*Navires!$B$6</f>
        <v>0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0</v>
      </c>
    </row>
    <row r="8" spans="1:73" x14ac:dyDescent="0.25">
      <c r="A8" t="s">
        <v>52</v>
      </c>
      <c r="B8" s="2" t="s">
        <v>40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0</v>
      </c>
      <c r="S8" s="82">
        <f t="shared" si="1"/>
        <v>0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0</v>
      </c>
      <c r="Z8" s="2">
        <f>G8*Navires!$F$2</f>
        <v>0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0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0</v>
      </c>
      <c r="AR8" s="118">
        <f>G8*Navires!$F$6</f>
        <v>0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0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0</v>
      </c>
      <c r="BJ8" s="118">
        <f>G8*Navires!$B$6</f>
        <v>0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0</v>
      </c>
    </row>
    <row r="9" spans="1:73" x14ac:dyDescent="0.25">
      <c r="A9" t="s">
        <v>53</v>
      </c>
      <c r="B9" s="2" t="s">
        <v>41</v>
      </c>
      <c r="C9" s="2"/>
      <c r="D9" s="2">
        <v>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2</v>
      </c>
      <c r="S9" s="82">
        <f t="shared" si="1"/>
        <v>0.46728971962616822</v>
      </c>
      <c r="U9" s="2" t="s">
        <v>41</v>
      </c>
      <c r="V9" s="2">
        <f>C9*Navires!$B$2</f>
        <v>0</v>
      </c>
      <c r="W9" s="2">
        <f>D9*Navires!$C$2</f>
        <v>3910</v>
      </c>
      <c r="X9" s="2">
        <f>E9*Navires!$D$2</f>
        <v>0</v>
      </c>
      <c r="Y9" s="2">
        <f>F9*Navires!$E$2</f>
        <v>0</v>
      </c>
      <c r="Z9" s="2">
        <f>G9*Navires!$F$2</f>
        <v>0</v>
      </c>
      <c r="AA9" s="2">
        <f>H9*Navires!$G$2</f>
        <v>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3910</v>
      </c>
      <c r="AM9" s="118" t="s">
        <v>41</v>
      </c>
      <c r="AN9" s="118">
        <f>C9*Navires!$B$6</f>
        <v>0</v>
      </c>
      <c r="AO9" s="118">
        <f>D9*Navires!$C$6</f>
        <v>1140.8</v>
      </c>
      <c r="AP9" s="118">
        <f>E9*Navires!$D$6</f>
        <v>0</v>
      </c>
      <c r="AQ9" s="118">
        <f>F9*Navires!$E$6</f>
        <v>0</v>
      </c>
      <c r="AR9" s="118">
        <f>G9*Navires!$F$6</f>
        <v>0</v>
      </c>
      <c r="AS9" s="118">
        <f>H9*Navires!$G$6</f>
        <v>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342.23999999999995</v>
      </c>
      <c r="BE9" s="118" t="s">
        <v>41</v>
      </c>
      <c r="BF9" s="118">
        <f>C9*Navires!$B$6</f>
        <v>0</v>
      </c>
      <c r="BG9" s="118">
        <f>D9*Navires!$B$6</f>
        <v>1140.8</v>
      </c>
      <c r="BH9" s="118">
        <f>E9*Navires!$B$6</f>
        <v>0</v>
      </c>
      <c r="BI9" s="118">
        <f>F9*Navires!$B$6</f>
        <v>0</v>
      </c>
      <c r="BJ9" s="118">
        <f>G9*Navires!$B$6</f>
        <v>0</v>
      </c>
      <c r="BK9" s="118">
        <f>H9*Navires!$B$6</f>
        <v>0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1939.36</v>
      </c>
    </row>
    <row r="10" spans="1:73" x14ac:dyDescent="0.25">
      <c r="A10" t="s">
        <v>54</v>
      </c>
      <c r="B10" s="2" t="s">
        <v>42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0</v>
      </c>
      <c r="S10" s="82">
        <f t="shared" si="1"/>
        <v>0</v>
      </c>
      <c r="U10" s="2" t="s">
        <v>42</v>
      </c>
      <c r="V10" s="2">
        <f>C10*Navires!$B$2</f>
        <v>0</v>
      </c>
      <c r="W10" s="2">
        <f>D10*Navires!$C$2</f>
        <v>0</v>
      </c>
      <c r="X10" s="2">
        <f>E10*Navires!$D$2</f>
        <v>0</v>
      </c>
      <c r="Y10" s="2">
        <f>F10*Navires!$E$2</f>
        <v>0</v>
      </c>
      <c r="Z10" s="2">
        <f>G10*Navires!$F$2</f>
        <v>0</v>
      </c>
      <c r="AA10" s="2">
        <f>H10*Navires!$G$2</f>
        <v>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0</v>
      </c>
      <c r="AM10" s="118" t="s">
        <v>42</v>
      </c>
      <c r="AN10" s="118">
        <f>C10*Navires!$B$6</f>
        <v>0</v>
      </c>
      <c r="AO10" s="118">
        <f>D10*Navires!$C$6</f>
        <v>0</v>
      </c>
      <c r="AP10" s="118">
        <f>E10*Navires!$D$6</f>
        <v>0</v>
      </c>
      <c r="AQ10" s="118">
        <f>F10*Navires!$E$6</f>
        <v>0</v>
      </c>
      <c r="AR10" s="118">
        <f>G10*Navires!$F$6</f>
        <v>0</v>
      </c>
      <c r="AS10" s="118">
        <f>H10*Navires!$G$6</f>
        <v>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0</v>
      </c>
      <c r="BE10" s="118" t="s">
        <v>42</v>
      </c>
      <c r="BF10" s="118">
        <f>C10*Navires!$B$6</f>
        <v>0</v>
      </c>
      <c r="BG10" s="118">
        <f>D10*Navires!$B$6</f>
        <v>0</v>
      </c>
      <c r="BH10" s="118">
        <f>E10*Navires!$B$6</f>
        <v>0</v>
      </c>
      <c r="BI10" s="118">
        <f>F10*Navires!$B$6</f>
        <v>0</v>
      </c>
      <c r="BJ10" s="118">
        <f>G10*Navires!$B$6</f>
        <v>0</v>
      </c>
      <c r="BK10" s="118">
        <f>H10*Navires!$B$6</f>
        <v>0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0</v>
      </c>
    </row>
    <row r="11" spans="1:73" x14ac:dyDescent="0.25">
      <c r="A11" t="s">
        <v>55</v>
      </c>
      <c r="B11" s="2" t="s">
        <v>43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0</v>
      </c>
      <c r="S11" s="82">
        <f t="shared" si="1"/>
        <v>0</v>
      </c>
      <c r="U11" s="2" t="s">
        <v>43</v>
      </c>
      <c r="V11" s="2">
        <f>C11*Navires!$B$2</f>
        <v>0</v>
      </c>
      <c r="W11" s="2">
        <f>D11*Navires!$C$2</f>
        <v>0</v>
      </c>
      <c r="X11" s="2">
        <f>E11*Navires!$D$2</f>
        <v>0</v>
      </c>
      <c r="Y11" s="2">
        <f>F11*Navires!$E$2</f>
        <v>0</v>
      </c>
      <c r="Z11" s="2">
        <f>G11*Navires!$F$2</f>
        <v>0</v>
      </c>
      <c r="AA11" s="2">
        <f>H11*Navires!$G$2</f>
        <v>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0</v>
      </c>
      <c r="AM11" s="118" t="s">
        <v>43</v>
      </c>
      <c r="AN11" s="118">
        <f>C11*Navires!$B$6</f>
        <v>0</v>
      </c>
      <c r="AO11" s="118">
        <f>D11*Navires!$C$6</f>
        <v>0</v>
      </c>
      <c r="AP11" s="118">
        <f>E11*Navires!$D$6</f>
        <v>0</v>
      </c>
      <c r="AQ11" s="118">
        <f>F11*Navires!$E$6</f>
        <v>0</v>
      </c>
      <c r="AR11" s="118">
        <f>G11*Navires!$F$6</f>
        <v>0</v>
      </c>
      <c r="AS11" s="118">
        <f>H11*Navires!$G$6</f>
        <v>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0</v>
      </c>
      <c r="BE11" s="118" t="s">
        <v>43</v>
      </c>
      <c r="BF11" s="118">
        <f>C11*Navires!$B$6</f>
        <v>0</v>
      </c>
      <c r="BG11" s="118">
        <f>D11*Navires!$B$6</f>
        <v>0</v>
      </c>
      <c r="BH11" s="118">
        <f>E11*Navires!$B$6</f>
        <v>0</v>
      </c>
      <c r="BI11" s="118">
        <f>F11*Navires!$B$6</f>
        <v>0</v>
      </c>
      <c r="BJ11" s="118">
        <f>G11*Navires!$B$6</f>
        <v>0</v>
      </c>
      <c r="BK11" s="118">
        <f>H11*Navires!$B$6</f>
        <v>0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0</v>
      </c>
    </row>
    <row r="12" spans="1:73" x14ac:dyDescent="0.25">
      <c r="A12" t="s">
        <v>56</v>
      </c>
      <c r="B12" s="2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0</v>
      </c>
      <c r="S12" s="82">
        <f t="shared" si="1"/>
        <v>0</v>
      </c>
      <c r="U12" s="2" t="s">
        <v>44</v>
      </c>
      <c r="V12" s="2">
        <f>C12*Navires!$B$2</f>
        <v>0</v>
      </c>
      <c r="W12" s="2">
        <f>D12*Navires!$C$2</f>
        <v>0</v>
      </c>
      <c r="X12" s="2">
        <f>E12*Navires!$D$2</f>
        <v>0</v>
      </c>
      <c r="Y12" s="2">
        <f>F12*Navires!$E$2</f>
        <v>0</v>
      </c>
      <c r="Z12" s="2">
        <f>G12*Navires!$F$2</f>
        <v>0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0</v>
      </c>
      <c r="AM12" s="118" t="s">
        <v>44</v>
      </c>
      <c r="AN12" s="118">
        <f>C12*Navires!$B$6</f>
        <v>0</v>
      </c>
      <c r="AO12" s="118">
        <f>D12*Navires!$C$6</f>
        <v>0</v>
      </c>
      <c r="AP12" s="118">
        <f>E12*Navires!$D$6</f>
        <v>0</v>
      </c>
      <c r="AQ12" s="118">
        <f>F12*Navires!$E$6</f>
        <v>0</v>
      </c>
      <c r="AR12" s="118">
        <f>G12*Navires!$F$6</f>
        <v>0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0</v>
      </c>
      <c r="BE12" s="118" t="s">
        <v>44</v>
      </c>
      <c r="BF12" s="118">
        <f>C12*Navires!$B$6</f>
        <v>0</v>
      </c>
      <c r="BG12" s="118">
        <f>D12*Navires!$B$6</f>
        <v>0</v>
      </c>
      <c r="BH12" s="118">
        <f>E12*Navires!$B$6</f>
        <v>0</v>
      </c>
      <c r="BI12" s="118">
        <f>F12*Navires!$B$6</f>
        <v>0</v>
      </c>
      <c r="BJ12" s="118">
        <f>G12*Navires!$B$6</f>
        <v>0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0</v>
      </c>
    </row>
    <row r="13" spans="1:73" x14ac:dyDescent="0.25">
      <c r="A13" t="s">
        <v>57</v>
      </c>
      <c r="B13" s="2" t="s">
        <v>45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0</v>
      </c>
      <c r="S13" s="82">
        <f t="shared" si="1"/>
        <v>0</v>
      </c>
      <c r="U13" s="2" t="s">
        <v>45</v>
      </c>
      <c r="V13" s="2">
        <f>C13*Navires!$B$2</f>
        <v>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0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0</v>
      </c>
      <c r="AM13" s="118" t="s">
        <v>45</v>
      </c>
      <c r="AN13" s="118">
        <f>C13*Navires!$B$6</f>
        <v>0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0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0</v>
      </c>
      <c r="BE13" s="118" t="s">
        <v>45</v>
      </c>
      <c r="BF13" s="118">
        <f>C13*Navires!$B$6</f>
        <v>0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0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0</v>
      </c>
    </row>
    <row r="14" spans="1:73" x14ac:dyDescent="0.25">
      <c r="A14" t="s">
        <v>58</v>
      </c>
      <c r="B14" s="2" t="s">
        <v>46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0</v>
      </c>
      <c r="S15" s="82">
        <f t="shared" si="1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0</v>
      </c>
      <c r="D16" s="30">
        <f t="shared" ref="D16:Q16" si="2">SUM(D4:D15)</f>
        <v>2</v>
      </c>
      <c r="E16" s="30">
        <f t="shared" si="2"/>
        <v>0</v>
      </c>
      <c r="F16" s="30">
        <f t="shared" si="2"/>
        <v>0</v>
      </c>
      <c r="G16" s="30">
        <f t="shared" si="2"/>
        <v>0</v>
      </c>
      <c r="H16" s="30">
        <f t="shared" si="2"/>
        <v>0</v>
      </c>
      <c r="I16" s="30">
        <f t="shared" si="2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2</v>
      </c>
      <c r="S16" s="82">
        <f t="shared" si="1"/>
        <v>3.8365624400537118E-2</v>
      </c>
      <c r="U16" s="29" t="s">
        <v>60</v>
      </c>
      <c r="V16" s="30">
        <f>SUM(V4:V15)</f>
        <v>0</v>
      </c>
      <c r="W16" s="30">
        <f t="shared" ref="W16:AJ16" si="3">SUM(W4:W15)</f>
        <v>3910</v>
      </c>
      <c r="X16" s="30">
        <f t="shared" si="3"/>
        <v>0</v>
      </c>
      <c r="Y16" s="30">
        <f t="shared" si="3"/>
        <v>0</v>
      </c>
      <c r="Z16" s="30">
        <f t="shared" si="3"/>
        <v>0</v>
      </c>
      <c r="AA16" s="30">
        <f t="shared" si="3"/>
        <v>0</v>
      </c>
      <c r="AB16" s="30">
        <f t="shared" si="3"/>
        <v>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0</v>
      </c>
      <c r="AO16" s="30">
        <f t="shared" ref="AO16:BB16" si="4">SUM(AO4:AO15)</f>
        <v>1140.8</v>
      </c>
      <c r="AP16" s="30">
        <f t="shared" si="4"/>
        <v>0</v>
      </c>
      <c r="AQ16" s="30">
        <f t="shared" si="4"/>
        <v>0</v>
      </c>
      <c r="AR16" s="30">
        <f t="shared" si="4"/>
        <v>0</v>
      </c>
      <c r="AS16" s="30">
        <f t="shared" si="4"/>
        <v>0</v>
      </c>
      <c r="AT16" s="30">
        <f t="shared" si="4"/>
        <v>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0</v>
      </c>
      <c r="BG16" s="30">
        <f t="shared" ref="BG16:BT16" si="5">SUM(BG4:BG15)</f>
        <v>1140.8</v>
      </c>
      <c r="BH16" s="30">
        <f t="shared" si="5"/>
        <v>0</v>
      </c>
      <c r="BI16" s="30">
        <f t="shared" si="5"/>
        <v>0</v>
      </c>
      <c r="BJ16" s="30">
        <f t="shared" si="5"/>
        <v>0</v>
      </c>
      <c r="BK16" s="30">
        <f t="shared" si="5"/>
        <v>0</v>
      </c>
      <c r="BL16" s="30">
        <f t="shared" si="5"/>
        <v>0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0</v>
      </c>
      <c r="S21" s="82">
        <f>R21/R36</f>
        <v>0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0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0</v>
      </c>
    </row>
    <row r="22" spans="1:73" x14ac:dyDescent="0.25">
      <c r="A22" t="s">
        <v>49</v>
      </c>
      <c r="B22" s="2" t="s">
        <v>37</v>
      </c>
      <c r="C22" s="2"/>
      <c r="D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2"/>
      <c r="R22" s="34">
        <f t="shared" ref="R22:R33" si="6">SUM(C22:Q22)</f>
        <v>0</v>
      </c>
      <c r="S22" s="82">
        <f t="shared" ref="S22:S33" si="7">R22/R37</f>
        <v>0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0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0</v>
      </c>
    </row>
    <row r="23" spans="1:73" x14ac:dyDescent="0.25">
      <c r="A23" t="s">
        <v>50</v>
      </c>
      <c r="B23" s="2" t="s">
        <v>38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2"/>
      <c r="R23" s="34">
        <f t="shared" si="6"/>
        <v>0</v>
      </c>
      <c r="S23" s="82">
        <f t="shared" si="7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2"/>
      <c r="R24" s="34">
        <f t="shared" si="6"/>
        <v>0</v>
      </c>
      <c r="S24" s="82">
        <f t="shared" si="7"/>
        <v>0</v>
      </c>
      <c r="U24" s="2" t="s">
        <v>39</v>
      </c>
      <c r="V24" s="2">
        <f>C24*Navires!$B$2</f>
        <v>0</v>
      </c>
      <c r="W24" s="2">
        <f>D24*Navires!$C$2</f>
        <v>0</v>
      </c>
      <c r="X24" s="2">
        <f>E24*Navires!$D$2</f>
        <v>0</v>
      </c>
      <c r="Y24" s="2">
        <f>F24*Navires!$E$2</f>
        <v>0</v>
      </c>
      <c r="Z24" s="2">
        <f>G24*Navires!$F$2</f>
        <v>0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0</v>
      </c>
      <c r="AM24" s="118" t="s">
        <v>39</v>
      </c>
      <c r="AN24" s="118">
        <f>C24*Navires!$B$6</f>
        <v>0</v>
      </c>
      <c r="AO24" s="118">
        <f>D24*Navires!$C$6</f>
        <v>0</v>
      </c>
      <c r="AP24" s="118">
        <f>E24*Navires!$D$6</f>
        <v>0</v>
      </c>
      <c r="AQ24" s="118">
        <f>F24*Navires!$E$6</f>
        <v>0</v>
      </c>
      <c r="AR24" s="118">
        <f>G24*Navires!$F$6</f>
        <v>0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0</v>
      </c>
      <c r="BE24" s="118" t="s">
        <v>39</v>
      </c>
      <c r="BF24" s="118">
        <f>C24*Navires!$B$6</f>
        <v>0</v>
      </c>
      <c r="BG24" s="118">
        <f>D24*Navires!$B$6</f>
        <v>0</v>
      </c>
      <c r="BH24" s="118">
        <f>E24*Navires!$B$6</f>
        <v>0</v>
      </c>
      <c r="BI24" s="118">
        <f>F24*Navires!$B$6</f>
        <v>0</v>
      </c>
      <c r="BJ24" s="118">
        <f>G24*Navires!$B$6</f>
        <v>0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0</v>
      </c>
    </row>
    <row r="25" spans="1:73" x14ac:dyDescent="0.25">
      <c r="A25" t="s">
        <v>52</v>
      </c>
      <c r="B25" s="2" t="s">
        <v>40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2"/>
      <c r="R25" s="34">
        <f t="shared" si="6"/>
        <v>0</v>
      </c>
      <c r="S25" s="82">
        <f t="shared" si="7"/>
        <v>0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0</v>
      </c>
      <c r="Z25" s="2">
        <f>G25*Navires!$F$2</f>
        <v>0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0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0</v>
      </c>
      <c r="AR25" s="118">
        <f>G25*Navires!$F$6</f>
        <v>0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0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0</v>
      </c>
      <c r="BJ25" s="118">
        <f>G25*Navires!$B$6</f>
        <v>0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0</v>
      </c>
    </row>
    <row r="26" spans="1:73" x14ac:dyDescent="0.25">
      <c r="A26" t="s">
        <v>53</v>
      </c>
      <c r="B26" s="2" t="s">
        <v>41</v>
      </c>
      <c r="C26" s="2"/>
      <c r="D26" s="2">
        <v>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2"/>
      <c r="R26" s="34">
        <f t="shared" si="6"/>
        <v>1</v>
      </c>
      <c r="S26" s="82">
        <f t="shared" si="7"/>
        <v>0.23364485981308411</v>
      </c>
      <c r="U26" s="2" t="s">
        <v>41</v>
      </c>
      <c r="V26" s="2">
        <f>C26*Navires!$B$2</f>
        <v>0</v>
      </c>
      <c r="W26" s="2">
        <f>D26*Navires!$C$2</f>
        <v>1955</v>
      </c>
      <c r="X26" s="2">
        <f>E26*Navires!$D$2</f>
        <v>0</v>
      </c>
      <c r="Y26" s="2">
        <f>F26*Navires!$E$2</f>
        <v>0</v>
      </c>
      <c r="Z26" s="2">
        <f>G26*Navires!$F$2</f>
        <v>0</v>
      </c>
      <c r="AA26" s="2">
        <f>H26*Navires!$G$2</f>
        <v>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1955</v>
      </c>
      <c r="AM26" s="118" t="s">
        <v>41</v>
      </c>
      <c r="AN26" s="118">
        <f>C26*Navires!$B$6</f>
        <v>0</v>
      </c>
      <c r="AO26" s="118">
        <f>D26*Navires!$C$6</f>
        <v>570.4</v>
      </c>
      <c r="AP26" s="118">
        <f>E26*Navires!$D$6</f>
        <v>0</v>
      </c>
      <c r="AQ26" s="118">
        <f>F26*Navires!$E$6</f>
        <v>0</v>
      </c>
      <c r="AR26" s="118">
        <f>G26*Navires!$F$6</f>
        <v>0</v>
      </c>
      <c r="AS26" s="118">
        <f>H26*Navires!$G$6</f>
        <v>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171.11999999999998</v>
      </c>
      <c r="BE26" s="118" t="s">
        <v>41</v>
      </c>
      <c r="BF26" s="118">
        <f>C26*Navires!$B$6</f>
        <v>0</v>
      </c>
      <c r="BG26" s="118">
        <f>D26*Navires!$B$6</f>
        <v>570.4</v>
      </c>
      <c r="BH26" s="118">
        <f>E26*Navires!$B$6</f>
        <v>0</v>
      </c>
      <c r="BI26" s="118">
        <f>F26*Navires!$B$6</f>
        <v>0</v>
      </c>
      <c r="BJ26" s="118">
        <f>G26*Navires!$B$6</f>
        <v>0</v>
      </c>
      <c r="BK26" s="118">
        <f>H26*Navires!$B$6</f>
        <v>0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969.68</v>
      </c>
    </row>
    <row r="27" spans="1:73" x14ac:dyDescent="0.25">
      <c r="A27" t="s">
        <v>54</v>
      </c>
      <c r="B27" s="2" t="s">
        <v>42</v>
      </c>
      <c r="C27" s="2"/>
      <c r="D27" s="2">
        <v>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2"/>
      <c r="R27" s="34">
        <f t="shared" si="6"/>
        <v>1</v>
      </c>
      <c r="S27" s="82">
        <f t="shared" si="7"/>
        <v>0.22573363431151244</v>
      </c>
      <c r="U27" s="2" t="s">
        <v>42</v>
      </c>
      <c r="V27" s="2">
        <f>C27*Navires!$B$2</f>
        <v>0</v>
      </c>
      <c r="W27" s="2">
        <f>D27*Navires!$C$2</f>
        <v>1955</v>
      </c>
      <c r="X27" s="2">
        <f>E27*Navires!$D$2</f>
        <v>0</v>
      </c>
      <c r="Y27" s="2">
        <f>F27*Navires!$E$2</f>
        <v>0</v>
      </c>
      <c r="Z27" s="2">
        <f>G27*Navires!$F$2</f>
        <v>0</v>
      </c>
      <c r="AA27" s="2">
        <f>H27*Navires!$G$2</f>
        <v>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1955</v>
      </c>
      <c r="AM27" s="118" t="s">
        <v>42</v>
      </c>
      <c r="AN27" s="118">
        <f>C27*Navires!$B$6</f>
        <v>0</v>
      </c>
      <c r="AO27" s="118">
        <f>D27*Navires!$C$6</f>
        <v>570.4</v>
      </c>
      <c r="AP27" s="118">
        <f>E27*Navires!$D$6</f>
        <v>0</v>
      </c>
      <c r="AQ27" s="118">
        <f>F27*Navires!$E$6</f>
        <v>0</v>
      </c>
      <c r="AR27" s="118">
        <f>G27*Navires!$F$6</f>
        <v>0</v>
      </c>
      <c r="AS27" s="118">
        <f>H27*Navires!$G$6</f>
        <v>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171.11999999999998</v>
      </c>
      <c r="BE27" s="118" t="s">
        <v>42</v>
      </c>
      <c r="BF27" s="118">
        <f>C27*Navires!$B$6</f>
        <v>0</v>
      </c>
      <c r="BG27" s="118">
        <f>D27*Navires!$B$6</f>
        <v>570.4</v>
      </c>
      <c r="BH27" s="118">
        <f>E27*Navires!$B$6</f>
        <v>0</v>
      </c>
      <c r="BI27" s="118">
        <f>F27*Navires!$B$6</f>
        <v>0</v>
      </c>
      <c r="BJ27" s="118">
        <f>G27*Navires!$B$6</f>
        <v>0</v>
      </c>
      <c r="BK27" s="118">
        <f>H27*Navires!$B$6</f>
        <v>0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969.68</v>
      </c>
    </row>
    <row r="28" spans="1:73" x14ac:dyDescent="0.25">
      <c r="A28" t="s">
        <v>55</v>
      </c>
      <c r="B28" s="2" t="s">
        <v>43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2"/>
      <c r="R28" s="34">
        <f t="shared" si="6"/>
        <v>0</v>
      </c>
      <c r="S28" s="82">
        <f t="shared" si="7"/>
        <v>0</v>
      </c>
      <c r="U28" s="2" t="s">
        <v>43</v>
      </c>
      <c r="V28" s="2">
        <f>C28*Navires!$B$2</f>
        <v>0</v>
      </c>
      <c r="W28" s="2">
        <f>D28*Navires!$C$2</f>
        <v>0</v>
      </c>
      <c r="X28" s="2">
        <f>E28*Navires!$D$2</f>
        <v>0</v>
      </c>
      <c r="Y28" s="2">
        <f>F28*Navires!$E$2</f>
        <v>0</v>
      </c>
      <c r="Z28" s="2">
        <f>G28*Navires!$F$2</f>
        <v>0</v>
      </c>
      <c r="AA28" s="2">
        <f>H28*Navires!$G$2</f>
        <v>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0</v>
      </c>
      <c r="AM28" s="118" t="s">
        <v>43</v>
      </c>
      <c r="AN28" s="118">
        <f>C28*Navires!$B$6</f>
        <v>0</v>
      </c>
      <c r="AO28" s="118">
        <f>D28*Navires!$C$6</f>
        <v>0</v>
      </c>
      <c r="AP28" s="118">
        <f>E28*Navires!$D$6</f>
        <v>0</v>
      </c>
      <c r="AQ28" s="118">
        <f>F28*Navires!$E$6</f>
        <v>0</v>
      </c>
      <c r="AR28" s="118">
        <f>G28*Navires!$F$6</f>
        <v>0</v>
      </c>
      <c r="AS28" s="118">
        <f>H28*Navires!$G$6</f>
        <v>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0</v>
      </c>
      <c r="BE28" s="118" t="s">
        <v>43</v>
      </c>
      <c r="BF28" s="118">
        <f>C28*Navires!$B$6</f>
        <v>0</v>
      </c>
      <c r="BG28" s="118">
        <f>D28*Navires!$B$6</f>
        <v>0</v>
      </c>
      <c r="BH28" s="118">
        <f>E28*Navires!$B$6</f>
        <v>0</v>
      </c>
      <c r="BI28" s="118">
        <f>F28*Navires!$B$6</f>
        <v>0</v>
      </c>
      <c r="BJ28" s="118">
        <f>G28*Navires!$B$6</f>
        <v>0</v>
      </c>
      <c r="BK28" s="118">
        <f>H28*Navires!$B$6</f>
        <v>0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0</v>
      </c>
    </row>
    <row r="29" spans="1:73" x14ac:dyDescent="0.25">
      <c r="A29" t="s">
        <v>56</v>
      </c>
      <c r="B29" s="2" t="s">
        <v>44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2"/>
      <c r="R29" s="34">
        <f t="shared" si="6"/>
        <v>0</v>
      </c>
      <c r="S29" s="82">
        <f t="shared" si="7"/>
        <v>0</v>
      </c>
      <c r="U29" s="2" t="s">
        <v>44</v>
      </c>
      <c r="V29" s="2">
        <f>C29*Navires!$B$2</f>
        <v>0</v>
      </c>
      <c r="W29" s="2">
        <f>D29*Navires!$C$2</f>
        <v>0</v>
      </c>
      <c r="X29" s="2">
        <f>E29*Navires!$D$2</f>
        <v>0</v>
      </c>
      <c r="Y29" s="2">
        <f>F29*Navires!$E$2</f>
        <v>0</v>
      </c>
      <c r="Z29" s="2">
        <f>G29*Navires!$F$2</f>
        <v>0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0</v>
      </c>
      <c r="AM29" s="118" t="s">
        <v>44</v>
      </c>
      <c r="AN29" s="118">
        <f>C29*Navires!$B$6</f>
        <v>0</v>
      </c>
      <c r="AO29" s="118">
        <f>D29*Navires!$C$6</f>
        <v>0</v>
      </c>
      <c r="AP29" s="118">
        <f>E29*Navires!$D$6</f>
        <v>0</v>
      </c>
      <c r="AQ29" s="118">
        <f>F29*Navires!$E$6</f>
        <v>0</v>
      </c>
      <c r="AR29" s="118">
        <f>G29*Navires!$F$6</f>
        <v>0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0</v>
      </c>
      <c r="BE29" s="118" t="s">
        <v>44</v>
      </c>
      <c r="BF29" s="118">
        <f>C29*Navires!$B$6</f>
        <v>0</v>
      </c>
      <c r="BG29" s="118">
        <f>D29*Navires!$B$6</f>
        <v>0</v>
      </c>
      <c r="BH29" s="118">
        <f>E29*Navires!$B$6</f>
        <v>0</v>
      </c>
      <c r="BI29" s="118">
        <f>F29*Navires!$B$6</f>
        <v>0</v>
      </c>
      <c r="BJ29" s="118">
        <f>G29*Navires!$B$6</f>
        <v>0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0</v>
      </c>
    </row>
    <row r="30" spans="1:73" x14ac:dyDescent="0.25">
      <c r="A30" t="s">
        <v>57</v>
      </c>
      <c r="B30" s="2" t="s">
        <v>45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2"/>
      <c r="R30" s="34">
        <f t="shared" si="6"/>
        <v>0</v>
      </c>
      <c r="S30" s="82">
        <f t="shared" si="7"/>
        <v>0</v>
      </c>
      <c r="U30" s="2" t="s">
        <v>45</v>
      </c>
      <c r="V30" s="2">
        <f>C30*Navires!$B$2</f>
        <v>0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0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0</v>
      </c>
      <c r="AM30" s="118" t="s">
        <v>45</v>
      </c>
      <c r="AN30" s="118">
        <f>C30*Navires!$B$6</f>
        <v>0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0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0</v>
      </c>
      <c r="BE30" s="118" t="s">
        <v>45</v>
      </c>
      <c r="BF30" s="118">
        <f>C30*Navires!$B$6</f>
        <v>0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0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0</v>
      </c>
    </row>
    <row r="31" spans="1:73" x14ac:dyDescent="0.25">
      <c r="A31" t="s">
        <v>58</v>
      </c>
      <c r="B31" s="2" t="s">
        <v>46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2"/>
      <c r="R31" s="34">
        <f t="shared" si="6"/>
        <v>0</v>
      </c>
      <c r="S31" s="82">
        <f t="shared" si="7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2"/>
      <c r="R32" s="34">
        <f t="shared" si="6"/>
        <v>0</v>
      </c>
      <c r="S32" s="82">
        <f t="shared" si="7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0</v>
      </c>
      <c r="D33" s="34">
        <f t="shared" ref="D33:E33" si="8">SUM(D21:D32)</f>
        <v>2</v>
      </c>
      <c r="E33" s="34">
        <f t="shared" si="8"/>
        <v>0</v>
      </c>
      <c r="F33" s="34">
        <f>SUM(F21:F32)</f>
        <v>0</v>
      </c>
      <c r="G33" s="34">
        <f>SUM(G21:G32)</f>
        <v>0</v>
      </c>
      <c r="H33" s="34">
        <f t="shared" ref="H33:Q33" si="9">SUM(H21:H32)</f>
        <v>0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2</v>
      </c>
      <c r="S33" s="82">
        <f t="shared" si="7"/>
        <v>3.8365624400537118E-2</v>
      </c>
      <c r="U33" s="34" t="s">
        <v>60</v>
      </c>
      <c r="V33" s="34">
        <f>SUM(V21:V32)</f>
        <v>0</v>
      </c>
      <c r="W33" s="34">
        <f t="shared" ref="W33:AJ33" si="10">SUM(W21:W32)</f>
        <v>3910</v>
      </c>
      <c r="X33" s="34">
        <f t="shared" si="10"/>
        <v>0</v>
      </c>
      <c r="Y33" s="34">
        <f t="shared" si="10"/>
        <v>0</v>
      </c>
      <c r="Z33" s="34">
        <f t="shared" si="10"/>
        <v>0</v>
      </c>
      <c r="AA33" s="34">
        <f t="shared" si="10"/>
        <v>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0</v>
      </c>
      <c r="AO33" s="34">
        <f t="shared" ref="AO33:BB33" si="11">SUM(AO21:AO32)</f>
        <v>1140.8</v>
      </c>
      <c r="AP33" s="34">
        <f t="shared" si="11"/>
        <v>0</v>
      </c>
      <c r="AQ33" s="34">
        <f t="shared" si="11"/>
        <v>0</v>
      </c>
      <c r="AR33" s="34">
        <f t="shared" si="11"/>
        <v>0</v>
      </c>
      <c r="AS33" s="34">
        <f t="shared" si="11"/>
        <v>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0</v>
      </c>
      <c r="BG33" s="118">
        <f>D33*Navires!$B$6</f>
        <v>1140.8</v>
      </c>
      <c r="BH33" s="118">
        <f>E33*Navires!$B$6</f>
        <v>0</v>
      </c>
      <c r="BI33" s="118">
        <f>F33*Navires!$B$6</f>
        <v>0</v>
      </c>
      <c r="BJ33" s="118">
        <f>G33*Navires!$B$6</f>
        <v>0</v>
      </c>
      <c r="BK33" s="118">
        <f>H33*Navires!$B$6</f>
        <v>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  <row r="49" spans="1:37" x14ac:dyDescent="0.25">
      <c r="B49" t="e">
        <f>'ILE ROUSSE 2014'!#REF!</f>
        <v>#REF!</v>
      </c>
    </row>
    <row r="50" spans="1:37" s="117" customFormat="1" ht="23.25" customHeight="1" x14ac:dyDescent="0.25">
      <c r="C50" s="215" t="s">
        <v>61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V50" s="215" t="s">
        <v>62</v>
      </c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7"/>
    </row>
    <row r="51" spans="1:37" s="117" customFormat="1" ht="23.25" customHeight="1" x14ac:dyDescent="0.25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8"/>
    </row>
    <row r="52" spans="1:37" s="117" customFormat="1" ht="45" x14ac:dyDescent="0.25">
      <c r="C52" s="24" t="s">
        <v>21</v>
      </c>
      <c r="D52" s="24" t="s">
        <v>22</v>
      </c>
      <c r="E52" s="24" t="s">
        <v>23</v>
      </c>
      <c r="F52" s="24" t="s">
        <v>24</v>
      </c>
      <c r="G52" s="24" t="s">
        <v>25</v>
      </c>
      <c r="H52" s="24" t="s">
        <v>26</v>
      </c>
      <c r="I52" s="25" t="s">
        <v>30</v>
      </c>
      <c r="J52" s="25" t="s">
        <v>33</v>
      </c>
      <c r="K52" s="25" t="s">
        <v>65</v>
      </c>
      <c r="L52" s="25" t="s">
        <v>31</v>
      </c>
      <c r="M52" s="25" t="s">
        <v>32</v>
      </c>
      <c r="N52" s="25" t="s">
        <v>29</v>
      </c>
      <c r="O52" s="25" t="s">
        <v>28</v>
      </c>
      <c r="P52" s="24" t="s">
        <v>27</v>
      </c>
      <c r="Q52" s="31" t="s">
        <v>34</v>
      </c>
      <c r="R52" s="33" t="s">
        <v>60</v>
      </c>
      <c r="S52" s="87"/>
      <c r="V52" s="24" t="s">
        <v>21</v>
      </c>
      <c r="W52" s="24" t="s">
        <v>22</v>
      </c>
      <c r="X52" s="24" t="s">
        <v>23</v>
      </c>
      <c r="Y52" s="24" t="s">
        <v>24</v>
      </c>
      <c r="Z52" s="24" t="s">
        <v>25</v>
      </c>
      <c r="AA52" s="24" t="s">
        <v>26</v>
      </c>
      <c r="AB52" s="25" t="s">
        <v>30</v>
      </c>
      <c r="AC52" s="25" t="s">
        <v>33</v>
      </c>
      <c r="AD52" s="25" t="s">
        <v>26</v>
      </c>
      <c r="AE52" s="25" t="s">
        <v>31</v>
      </c>
      <c r="AF52" s="25" t="s">
        <v>32</v>
      </c>
      <c r="AG52" s="25" t="s">
        <v>29</v>
      </c>
      <c r="AH52" s="25" t="s">
        <v>28</v>
      </c>
      <c r="AI52" s="24" t="s">
        <v>27</v>
      </c>
      <c r="AJ52" s="25" t="s">
        <v>34</v>
      </c>
      <c r="AK52" s="33" t="s">
        <v>60</v>
      </c>
    </row>
    <row r="53" spans="1:37" s="117" customFormat="1" ht="15" customHeight="1" x14ac:dyDescent="0.25">
      <c r="A53" s="117" t="s">
        <v>139</v>
      </c>
      <c r="B53" s="118" t="s">
        <v>146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32"/>
      <c r="R53" s="34">
        <f>SUM(C53:Q53)</f>
        <v>0</v>
      </c>
      <c r="S53" s="135"/>
      <c r="U53" s="118" t="s">
        <v>146</v>
      </c>
      <c r="V53" s="118">
        <f>C53*Navires!$B$2</f>
        <v>0</v>
      </c>
      <c r="W53" s="118">
        <f>D53*Navires!$C$2</f>
        <v>0</v>
      </c>
      <c r="X53" s="118">
        <f>E53*Navires!$D$2</f>
        <v>0</v>
      </c>
      <c r="Y53" s="118">
        <f>F53*Navires!$E$2</f>
        <v>0</v>
      </c>
      <c r="Z53" s="118">
        <f>G53*Navires!$F$2</f>
        <v>0</v>
      </c>
      <c r="AA53" s="118">
        <f>H53*Navires!$G$2</f>
        <v>0</v>
      </c>
      <c r="AB53" s="118">
        <f>I53*Navires!$H$2</f>
        <v>0</v>
      </c>
      <c r="AC53" s="118">
        <f>J53*Navires!$I$2</f>
        <v>0</v>
      </c>
      <c r="AD53" s="118">
        <f>K53*Navires!$J$2</f>
        <v>0</v>
      </c>
      <c r="AE53" s="118">
        <f>L53*Navires!$K$2</f>
        <v>0</v>
      </c>
      <c r="AF53" s="118">
        <f>M53*Navires!$L$2</f>
        <v>0</v>
      </c>
      <c r="AG53" s="118">
        <f>N53*Navires!$M$2</f>
        <v>0</v>
      </c>
      <c r="AH53" s="118">
        <f>O53*Navires!$N$2</f>
        <v>0</v>
      </c>
      <c r="AI53" s="118">
        <f>P53*Navires!$O$2</f>
        <v>0</v>
      </c>
      <c r="AJ53" s="118">
        <f>Q53*Navires!$P$2</f>
        <v>0</v>
      </c>
      <c r="AK53" s="35">
        <f>(SUM(V53:AJ53))*Générale!$B56</f>
        <v>0</v>
      </c>
    </row>
    <row r="54" spans="1:37" s="117" customFormat="1" x14ac:dyDescent="0.25">
      <c r="A54" s="117" t="s">
        <v>140</v>
      </c>
      <c r="B54" s="118" t="s">
        <v>147</v>
      </c>
      <c r="C54" s="118"/>
      <c r="D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32"/>
      <c r="R54" s="34">
        <f t="shared" ref="R54:R59" si="12">SUM(C54:Q54)</f>
        <v>0</v>
      </c>
      <c r="S54" s="135"/>
      <c r="U54" s="118" t="s">
        <v>147</v>
      </c>
      <c r="V54" s="118">
        <f>C54*Navires!$B$2</f>
        <v>0</v>
      </c>
      <c r="W54" s="118">
        <f>D54*Navires!$C$2</f>
        <v>0</v>
      </c>
      <c r="X54" s="118">
        <f>E54*Navires!$D$2</f>
        <v>0</v>
      </c>
      <c r="Y54" s="118">
        <f>F54*Navires!$E$2</f>
        <v>0</v>
      </c>
      <c r="Z54" s="118">
        <f>G54*Navires!$F$2</f>
        <v>0</v>
      </c>
      <c r="AA54" s="118">
        <f>H54*Navires!$G$2</f>
        <v>0</v>
      </c>
      <c r="AB54" s="118">
        <f>I54*Navires!$H$2</f>
        <v>0</v>
      </c>
      <c r="AC54" s="118">
        <f>J54*Navires!$I$2</f>
        <v>0</v>
      </c>
      <c r="AD54" s="118">
        <f>K54*Navires!$J$2</f>
        <v>0</v>
      </c>
      <c r="AE54" s="118">
        <f>L54*Navires!$K$2</f>
        <v>0</v>
      </c>
      <c r="AF54" s="118">
        <f>M54*Navires!$L$2</f>
        <v>0</v>
      </c>
      <c r="AG54" s="118">
        <f>N54*Navires!$M$2</f>
        <v>0</v>
      </c>
      <c r="AH54" s="118">
        <f>O54*Navires!$N$2</f>
        <v>0</v>
      </c>
      <c r="AI54" s="118">
        <f>P54*Navires!$O$2</f>
        <v>0</v>
      </c>
      <c r="AJ54" s="118">
        <f>Q54*Navires!$P$2</f>
        <v>0</v>
      </c>
      <c r="AK54" s="35">
        <f>(SUM(V54:AJ54))*Générale!$B57</f>
        <v>0</v>
      </c>
    </row>
    <row r="55" spans="1:37" s="117" customFormat="1" x14ac:dyDescent="0.25">
      <c r="A55" s="117" t="s">
        <v>141</v>
      </c>
      <c r="B55" s="118" t="s">
        <v>148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32"/>
      <c r="R55" s="34">
        <f t="shared" si="12"/>
        <v>0</v>
      </c>
      <c r="S55" s="135"/>
      <c r="U55" s="118" t="s">
        <v>148</v>
      </c>
      <c r="V55" s="118">
        <f>C55*Navires!$B$2</f>
        <v>0</v>
      </c>
      <c r="W55" s="118">
        <f>D55*Navires!$C$2</f>
        <v>0</v>
      </c>
      <c r="X55" s="118">
        <f>E55*Navires!$D$2</f>
        <v>0</v>
      </c>
      <c r="Y55" s="118">
        <f>F55*Navires!$E$2</f>
        <v>0</v>
      </c>
      <c r="Z55" s="118">
        <f>G55*Navires!$F$2</f>
        <v>0</v>
      </c>
      <c r="AA55" s="118">
        <f>H55*Navires!$G$2</f>
        <v>0</v>
      </c>
      <c r="AB55" s="118">
        <f>I55*Navires!$H$2</f>
        <v>0</v>
      </c>
      <c r="AC55" s="118">
        <f>J55*Navires!$I$2</f>
        <v>0</v>
      </c>
      <c r="AD55" s="118">
        <f>K55*Navires!$J$2</f>
        <v>0</v>
      </c>
      <c r="AE55" s="118">
        <f>L55*Navires!$K$2</f>
        <v>0</v>
      </c>
      <c r="AF55" s="118">
        <f>M55*Navires!$L$2</f>
        <v>0</v>
      </c>
      <c r="AG55" s="118">
        <f>N55*Navires!$M$2</f>
        <v>0</v>
      </c>
      <c r="AH55" s="118">
        <f>O55*Navires!$N$2</f>
        <v>0</v>
      </c>
      <c r="AI55" s="118">
        <f>P55*Navires!$O$2</f>
        <v>0</v>
      </c>
      <c r="AJ55" s="118">
        <f>Q55*Navires!$P$2</f>
        <v>0</v>
      </c>
      <c r="AK55" s="35">
        <f>(SUM(V55:AJ55))*Générale!$B58</f>
        <v>0</v>
      </c>
    </row>
    <row r="56" spans="1:37" s="117" customFormat="1" x14ac:dyDescent="0.25">
      <c r="A56" s="117" t="s">
        <v>142</v>
      </c>
      <c r="B56" s="118" t="s">
        <v>149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32"/>
      <c r="R56" s="34">
        <f t="shared" si="12"/>
        <v>0</v>
      </c>
      <c r="S56" s="135"/>
      <c r="U56" s="118" t="s">
        <v>149</v>
      </c>
      <c r="V56" s="118">
        <f>C56*Navires!$B$2</f>
        <v>0</v>
      </c>
      <c r="W56" s="118">
        <f>D56*Navires!$C$2</f>
        <v>0</v>
      </c>
      <c r="X56" s="118">
        <f>E56*Navires!$D$2</f>
        <v>0</v>
      </c>
      <c r="Y56" s="118">
        <f>F56*Navires!$E$2</f>
        <v>0</v>
      </c>
      <c r="Z56" s="118">
        <f>G56*Navires!$F$2</f>
        <v>0</v>
      </c>
      <c r="AA56" s="118">
        <f>H56*Navires!$G$2</f>
        <v>0</v>
      </c>
      <c r="AB56" s="118">
        <f>I56*Navires!$H$2</f>
        <v>0</v>
      </c>
      <c r="AC56" s="118">
        <f>J56*Navires!$I$2</f>
        <v>0</v>
      </c>
      <c r="AD56" s="118">
        <f>K56*Navires!$J$2</f>
        <v>0</v>
      </c>
      <c r="AE56" s="118">
        <f>L56*Navires!$K$2</f>
        <v>0</v>
      </c>
      <c r="AF56" s="118">
        <f>M56*Navires!$L$2</f>
        <v>0</v>
      </c>
      <c r="AG56" s="118">
        <f>N56*Navires!$M$2</f>
        <v>0</v>
      </c>
      <c r="AH56" s="118">
        <f>O56*Navires!$N$2</f>
        <v>0</v>
      </c>
      <c r="AI56" s="118">
        <f>P56*Navires!$O$2</f>
        <v>0</v>
      </c>
      <c r="AJ56" s="118">
        <f>Q56*Navires!$P$2</f>
        <v>0</v>
      </c>
      <c r="AK56" s="35">
        <f>(SUM(V56:AJ56))*Générale!$B59</f>
        <v>0</v>
      </c>
    </row>
    <row r="57" spans="1:37" s="117" customFormat="1" x14ac:dyDescent="0.25">
      <c r="A57" s="117" t="s">
        <v>143</v>
      </c>
      <c r="B57" s="118" t="s">
        <v>150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2"/>
      <c r="R57" s="34">
        <f t="shared" si="12"/>
        <v>0</v>
      </c>
      <c r="S57" s="135"/>
      <c r="U57" s="118" t="s">
        <v>150</v>
      </c>
      <c r="V57" s="118">
        <f>C57*Navires!$B$2</f>
        <v>0</v>
      </c>
      <c r="W57" s="118">
        <f>D57*Navires!$C$2</f>
        <v>0</v>
      </c>
      <c r="X57" s="118">
        <f>E57*Navires!$D$2</f>
        <v>0</v>
      </c>
      <c r="Y57" s="118">
        <f>F57*Navires!$E$2</f>
        <v>0</v>
      </c>
      <c r="Z57" s="118">
        <f>G57*Navires!$F$2</f>
        <v>0</v>
      </c>
      <c r="AA57" s="118">
        <f>H57*Navires!$G$2</f>
        <v>0</v>
      </c>
      <c r="AB57" s="118">
        <f>I57*Navires!$H$2</f>
        <v>0</v>
      </c>
      <c r="AC57" s="118">
        <f>J57*Navires!$I$2</f>
        <v>0</v>
      </c>
      <c r="AD57" s="118">
        <f>K57*Navires!$J$2</f>
        <v>0</v>
      </c>
      <c r="AE57" s="118">
        <f>L57*Navires!$K$2</f>
        <v>0</v>
      </c>
      <c r="AF57" s="118">
        <f>M57*Navires!$L$2</f>
        <v>0</v>
      </c>
      <c r="AG57" s="118">
        <f>N57*Navires!$M$2</f>
        <v>0</v>
      </c>
      <c r="AH57" s="118">
        <f>O57*Navires!$N$2</f>
        <v>0</v>
      </c>
      <c r="AI57" s="118">
        <f>P57*Navires!$O$2</f>
        <v>0</v>
      </c>
      <c r="AJ57" s="118">
        <f>Q57*Navires!$P$2</f>
        <v>0</v>
      </c>
      <c r="AK57" s="35">
        <f>(SUM(V57:AJ57))*Générale!$B60</f>
        <v>0</v>
      </c>
    </row>
    <row r="58" spans="1:37" s="117" customFormat="1" x14ac:dyDescent="0.25">
      <c r="A58" s="117" t="s">
        <v>144</v>
      </c>
      <c r="B58" s="118" t="s">
        <v>151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32"/>
      <c r="R58" s="34">
        <f t="shared" si="12"/>
        <v>0</v>
      </c>
      <c r="S58" s="135"/>
      <c r="U58" s="118" t="s">
        <v>151</v>
      </c>
      <c r="V58" s="118">
        <f>C58*Navires!$B$2</f>
        <v>0</v>
      </c>
      <c r="W58" s="118">
        <f>D58*Navires!$C$2</f>
        <v>0</v>
      </c>
      <c r="X58" s="118">
        <f>E58*Navires!$D$2</f>
        <v>0</v>
      </c>
      <c r="Y58" s="118">
        <f>F58*Navires!$E$2</f>
        <v>0</v>
      </c>
      <c r="Z58" s="118">
        <f>G58*Navires!$F$2</f>
        <v>0</v>
      </c>
      <c r="AA58" s="118">
        <f>H58*Navires!$G$2</f>
        <v>0</v>
      </c>
      <c r="AB58" s="118">
        <f>I58*Navires!$H$2</f>
        <v>0</v>
      </c>
      <c r="AC58" s="118">
        <f>J58*Navires!$I$2</f>
        <v>0</v>
      </c>
      <c r="AD58" s="118">
        <f>K58*Navires!$J$2</f>
        <v>0</v>
      </c>
      <c r="AE58" s="118">
        <f>L58*Navires!$K$2</f>
        <v>0</v>
      </c>
      <c r="AF58" s="118">
        <f>M58*Navires!$L$2</f>
        <v>0</v>
      </c>
      <c r="AG58" s="118">
        <f>N58*Navires!$M$2</f>
        <v>0</v>
      </c>
      <c r="AH58" s="118">
        <f>O58*Navires!$N$2</f>
        <v>0</v>
      </c>
      <c r="AI58" s="118">
        <f>P58*Navires!$O$2</f>
        <v>0</v>
      </c>
      <c r="AJ58" s="118">
        <f>Q58*Navires!$P$2</f>
        <v>0</v>
      </c>
      <c r="AK58" s="35">
        <f>(SUM(V58:AJ58))*Générale!$B61</f>
        <v>0</v>
      </c>
    </row>
    <row r="59" spans="1:37" s="117" customFormat="1" x14ac:dyDescent="0.25">
      <c r="A59" s="117" t="s">
        <v>145</v>
      </c>
      <c r="B59" s="118" t="s">
        <v>152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32"/>
      <c r="R59" s="34">
        <f t="shared" si="12"/>
        <v>0</v>
      </c>
      <c r="S59" s="135"/>
      <c r="U59" s="118" t="s">
        <v>152</v>
      </c>
      <c r="V59" s="118">
        <f>C59*Navires!$B$2</f>
        <v>0</v>
      </c>
      <c r="W59" s="118">
        <f>D59*Navires!$C$2</f>
        <v>0</v>
      </c>
      <c r="X59" s="118">
        <f>E59*Navires!$D$2</f>
        <v>0</v>
      </c>
      <c r="Y59" s="118">
        <f>F59*Navires!$E$2</f>
        <v>0</v>
      </c>
      <c r="Z59" s="118">
        <f>G59*Navires!$F$2</f>
        <v>0</v>
      </c>
      <c r="AA59" s="118">
        <f>H59*Navires!$G$2</f>
        <v>0</v>
      </c>
      <c r="AB59" s="118">
        <f>I59*Navires!$H$2</f>
        <v>0</v>
      </c>
      <c r="AC59" s="118">
        <f>J59*Navires!$I$2</f>
        <v>0</v>
      </c>
      <c r="AD59" s="118">
        <f>K59*Navires!$J$2</f>
        <v>0</v>
      </c>
      <c r="AE59" s="118">
        <f>L59*Navires!$K$2</f>
        <v>0</v>
      </c>
      <c r="AF59" s="118">
        <f>M59*Navires!$L$2</f>
        <v>0</v>
      </c>
      <c r="AG59" s="118">
        <f>N59*Navires!$M$2</f>
        <v>0</v>
      </c>
      <c r="AH59" s="118">
        <f>O59*Navires!$N$2</f>
        <v>0</v>
      </c>
      <c r="AI59" s="118">
        <f>P59*Navires!$O$2</f>
        <v>0</v>
      </c>
      <c r="AJ59" s="118">
        <f>Q59*Navires!$P$2</f>
        <v>0</v>
      </c>
      <c r="AK59" s="35">
        <f>(SUM(V59:AJ59))*Générale!$B62</f>
        <v>0</v>
      </c>
    </row>
    <row r="60" spans="1:37" s="117" customFormat="1" x14ac:dyDescent="0.25"/>
    <row r="61" spans="1:37" s="117" customFormat="1" ht="15" customHeight="1" x14ac:dyDescent="0.25">
      <c r="C61" s="215" t="s">
        <v>63</v>
      </c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U61" s="217" t="s">
        <v>64</v>
      </c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</row>
    <row r="62" spans="1:37" s="117" customFormat="1" ht="26.25" customHeight="1" x14ac:dyDescent="0.25"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</row>
    <row r="63" spans="1:37" s="117" customFormat="1" ht="45" x14ac:dyDescent="0.25">
      <c r="C63" s="24" t="s">
        <v>21</v>
      </c>
      <c r="D63" s="24" t="s">
        <v>22</v>
      </c>
      <c r="E63" s="24" t="s">
        <v>23</v>
      </c>
      <c r="F63" s="24" t="s">
        <v>24</v>
      </c>
      <c r="G63" s="24" t="s">
        <v>25</v>
      </c>
      <c r="H63" s="24" t="s">
        <v>26</v>
      </c>
      <c r="I63" s="25" t="s">
        <v>30</v>
      </c>
      <c r="J63" s="25" t="s">
        <v>33</v>
      </c>
      <c r="K63" s="25" t="s">
        <v>65</v>
      </c>
      <c r="L63" s="25" t="s">
        <v>31</v>
      </c>
      <c r="M63" s="25" t="s">
        <v>32</v>
      </c>
      <c r="N63" s="25" t="s">
        <v>29</v>
      </c>
      <c r="O63" s="25" t="s">
        <v>28</v>
      </c>
      <c r="P63" s="24" t="s">
        <v>27</v>
      </c>
      <c r="Q63" s="31" t="s">
        <v>34</v>
      </c>
      <c r="R63" s="33" t="s">
        <v>60</v>
      </c>
      <c r="U63" s="118"/>
      <c r="V63" s="23" t="s">
        <v>21</v>
      </c>
      <c r="W63" s="23" t="s">
        <v>22</v>
      </c>
      <c r="X63" s="23" t="s">
        <v>23</v>
      </c>
      <c r="Y63" s="23" t="s">
        <v>24</v>
      </c>
      <c r="Z63" s="23" t="s">
        <v>25</v>
      </c>
      <c r="AA63" s="23" t="s">
        <v>26</v>
      </c>
      <c r="AB63" s="23" t="s">
        <v>30</v>
      </c>
      <c r="AC63" s="23" t="s">
        <v>33</v>
      </c>
      <c r="AD63" s="23" t="s">
        <v>26</v>
      </c>
      <c r="AE63" s="23" t="s">
        <v>31</v>
      </c>
      <c r="AF63" s="23" t="s">
        <v>32</v>
      </c>
      <c r="AG63" s="23" t="s">
        <v>29</v>
      </c>
      <c r="AH63" s="23" t="s">
        <v>28</v>
      </c>
      <c r="AI63" s="23" t="s">
        <v>27</v>
      </c>
      <c r="AJ63" s="23" t="s">
        <v>34</v>
      </c>
      <c r="AK63" s="37" t="s">
        <v>60</v>
      </c>
    </row>
    <row r="64" spans="1:37" s="117" customFormat="1" x14ac:dyDescent="0.25">
      <c r="A64" s="117" t="s">
        <v>139</v>
      </c>
      <c r="B64" s="118" t="s">
        <v>146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32"/>
      <c r="R64" s="34">
        <f>SUM(C64:Q64)</f>
        <v>0</v>
      </c>
      <c r="U64" s="118" t="s">
        <v>146</v>
      </c>
      <c r="V64" s="118">
        <f>C64*Navires!$B$2</f>
        <v>0</v>
      </c>
      <c r="W64" s="118">
        <f>D64*Navires!$C$2</f>
        <v>0</v>
      </c>
      <c r="X64" s="118">
        <f>E64*Navires!$D$2</f>
        <v>0</v>
      </c>
      <c r="Y64" s="118">
        <f>F64*Navires!$E$2</f>
        <v>0</v>
      </c>
      <c r="Z64" s="118">
        <f>G64*Navires!$F$2</f>
        <v>0</v>
      </c>
      <c r="AA64" s="118">
        <f>H64*Navires!$G$2</f>
        <v>0</v>
      </c>
      <c r="AB64" s="118">
        <f>I64*Navires!$H$2</f>
        <v>0</v>
      </c>
      <c r="AC64" s="118">
        <f>J64*Navires!$I$2</f>
        <v>0</v>
      </c>
      <c r="AD64" s="118">
        <f>K64*Navires!$J$2</f>
        <v>0</v>
      </c>
      <c r="AE64" s="118">
        <f>L64*Navires!$K$2</f>
        <v>0</v>
      </c>
      <c r="AF64" s="118">
        <f>M64*Navires!$L$2</f>
        <v>0</v>
      </c>
      <c r="AG64" s="118">
        <f>N64*Navires!$M$2</f>
        <v>0</v>
      </c>
      <c r="AH64" s="118">
        <f>O64*Navires!$N$2</f>
        <v>0</v>
      </c>
      <c r="AI64" s="118">
        <f>P64*Navires!$O$2</f>
        <v>0</v>
      </c>
      <c r="AJ64" s="118">
        <f>Q64*Navires!$P$2</f>
        <v>0</v>
      </c>
      <c r="AK64" s="35">
        <f>(SUM(V64:AJ64))*Générale!$B50</f>
        <v>0</v>
      </c>
    </row>
    <row r="65" spans="1:37" s="117" customFormat="1" x14ac:dyDescent="0.25">
      <c r="A65" s="117" t="s">
        <v>140</v>
      </c>
      <c r="B65" s="118" t="s">
        <v>147</v>
      </c>
      <c r="C65" s="118"/>
      <c r="D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32"/>
      <c r="R65" s="34">
        <f t="shared" ref="R65:R70" si="13">SUM(C65:Q65)</f>
        <v>0</v>
      </c>
      <c r="U65" s="118" t="s">
        <v>147</v>
      </c>
      <c r="V65" s="118">
        <f>C65*Navires!$B$2</f>
        <v>0</v>
      </c>
      <c r="W65" s="118">
        <f>D65*Navires!$C$2</f>
        <v>0</v>
      </c>
      <c r="X65" s="118">
        <f>E65*Navires!$D$2</f>
        <v>0</v>
      </c>
      <c r="Y65" s="118">
        <f>F65*Navires!$E$2</f>
        <v>0</v>
      </c>
      <c r="Z65" s="118">
        <f>G65*Navires!$F$2</f>
        <v>0</v>
      </c>
      <c r="AA65" s="118">
        <f>H65*Navires!$G$2</f>
        <v>0</v>
      </c>
      <c r="AB65" s="118">
        <f>I65*Navires!$H$2</f>
        <v>0</v>
      </c>
      <c r="AC65" s="118">
        <f>J65*Navires!$I$2</f>
        <v>0</v>
      </c>
      <c r="AD65" s="118">
        <f>K65*Navires!$J$2</f>
        <v>0</v>
      </c>
      <c r="AE65" s="118">
        <f>L65*Navires!$K$2</f>
        <v>0</v>
      </c>
      <c r="AF65" s="118">
        <f>M65*Navires!$L$2</f>
        <v>0</v>
      </c>
      <c r="AG65" s="118">
        <f>N65*Navires!$M$2</f>
        <v>0</v>
      </c>
      <c r="AH65" s="118">
        <f>O65*Navires!$N$2</f>
        <v>0</v>
      </c>
      <c r="AI65" s="118">
        <f>P65*Navires!$O$2</f>
        <v>0</v>
      </c>
      <c r="AJ65" s="118">
        <f>Q65*Navires!$P$2</f>
        <v>0</v>
      </c>
      <c r="AK65" s="35">
        <f>(SUM(V65:AJ65))*Générale!$B51</f>
        <v>0</v>
      </c>
    </row>
    <row r="66" spans="1:37" s="117" customFormat="1" x14ac:dyDescent="0.25">
      <c r="A66" s="117" t="s">
        <v>141</v>
      </c>
      <c r="B66" s="118" t="s">
        <v>148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32"/>
      <c r="R66" s="34">
        <f t="shared" si="13"/>
        <v>0</v>
      </c>
      <c r="U66" s="118" t="s">
        <v>148</v>
      </c>
      <c r="V66" s="118">
        <f>C66*Navires!$B$2</f>
        <v>0</v>
      </c>
      <c r="W66" s="118">
        <f>D66*Navires!$C$2</f>
        <v>0</v>
      </c>
      <c r="X66" s="118">
        <f>E66*Navires!$D$2</f>
        <v>0</v>
      </c>
      <c r="Y66" s="118">
        <f>F66*Navires!$E$2</f>
        <v>0</v>
      </c>
      <c r="Z66" s="118">
        <f>G66*Navires!$F$2</f>
        <v>0</v>
      </c>
      <c r="AA66" s="118">
        <f>H66*Navires!$G$2</f>
        <v>0</v>
      </c>
      <c r="AB66" s="118">
        <f>I66*Navires!$H$2</f>
        <v>0</v>
      </c>
      <c r="AC66" s="118">
        <f>J66*Navires!$I$2</f>
        <v>0</v>
      </c>
      <c r="AD66" s="118">
        <f>K66*Navires!$J$2</f>
        <v>0</v>
      </c>
      <c r="AE66" s="118">
        <f>L66*Navires!$K$2</f>
        <v>0</v>
      </c>
      <c r="AF66" s="118">
        <f>M66*Navires!$L$2</f>
        <v>0</v>
      </c>
      <c r="AG66" s="118">
        <f>N66*Navires!$M$2</f>
        <v>0</v>
      </c>
      <c r="AH66" s="118">
        <f>O66*Navires!$N$2</f>
        <v>0</v>
      </c>
      <c r="AI66" s="118">
        <f>P66*Navires!$O$2</f>
        <v>0</v>
      </c>
      <c r="AJ66" s="118">
        <f>Q66*Navires!$P$2</f>
        <v>0</v>
      </c>
      <c r="AK66" s="35">
        <f>(SUM(V66:AJ66))*Générale!$B52</f>
        <v>0</v>
      </c>
    </row>
    <row r="67" spans="1:37" s="117" customFormat="1" x14ac:dyDescent="0.25">
      <c r="A67" s="117" t="s">
        <v>142</v>
      </c>
      <c r="B67" s="118" t="s">
        <v>149</v>
      </c>
      <c r="C67" s="118"/>
      <c r="D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32"/>
      <c r="R67" s="34">
        <f t="shared" si="13"/>
        <v>0</v>
      </c>
      <c r="U67" s="118" t="s">
        <v>149</v>
      </c>
      <c r="V67" s="118">
        <f>C67*Navires!$B$2</f>
        <v>0</v>
      </c>
      <c r="W67" s="118">
        <f>D67*Navires!$C$2</f>
        <v>0</v>
      </c>
      <c r="X67" s="118">
        <f>E67*Navires!$D$2</f>
        <v>0</v>
      </c>
      <c r="Y67" s="118">
        <f>F67*Navires!$E$2</f>
        <v>0</v>
      </c>
      <c r="Z67" s="118">
        <f>G67*Navires!$F$2</f>
        <v>0</v>
      </c>
      <c r="AA67" s="118">
        <f>H67*Navires!$G$2</f>
        <v>0</v>
      </c>
      <c r="AB67" s="118">
        <f>I67*Navires!$H$2</f>
        <v>0</v>
      </c>
      <c r="AC67" s="118">
        <f>J67*Navires!$I$2</f>
        <v>0</v>
      </c>
      <c r="AD67" s="118">
        <f>K67*Navires!$J$2</f>
        <v>0</v>
      </c>
      <c r="AE67" s="118">
        <f>L67*Navires!$K$2</f>
        <v>0</v>
      </c>
      <c r="AF67" s="118">
        <f>M67*Navires!$L$2</f>
        <v>0</v>
      </c>
      <c r="AG67" s="118">
        <f>N67*Navires!$M$2</f>
        <v>0</v>
      </c>
      <c r="AH67" s="118">
        <f>O67*Navires!$N$2</f>
        <v>0</v>
      </c>
      <c r="AI67" s="118">
        <f>P67*Navires!$O$2</f>
        <v>0</v>
      </c>
      <c r="AJ67" s="118">
        <f>Q67*Navires!$P$2</f>
        <v>0</v>
      </c>
      <c r="AK67" s="35">
        <f>(SUM(V67:AJ67))*Générale!$B53</f>
        <v>0</v>
      </c>
    </row>
    <row r="68" spans="1:37" s="117" customFormat="1" x14ac:dyDescent="0.25">
      <c r="A68" s="117" t="s">
        <v>143</v>
      </c>
      <c r="B68" s="118" t="s">
        <v>150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32"/>
      <c r="R68" s="34">
        <f t="shared" si="13"/>
        <v>0</v>
      </c>
      <c r="U68" s="118" t="s">
        <v>150</v>
      </c>
      <c r="V68" s="118">
        <f>C68*Navires!$B$2</f>
        <v>0</v>
      </c>
      <c r="W68" s="118">
        <f>D68*Navires!$C$2</f>
        <v>0</v>
      </c>
      <c r="X68" s="118">
        <f>E68*Navires!$D$2</f>
        <v>0</v>
      </c>
      <c r="Y68" s="118">
        <f>F68*Navires!$E$2</f>
        <v>0</v>
      </c>
      <c r="Z68" s="118">
        <f>G68*Navires!$F$2</f>
        <v>0</v>
      </c>
      <c r="AA68" s="118">
        <f>H68*Navires!$G$2</f>
        <v>0</v>
      </c>
      <c r="AB68" s="118">
        <f>I68*Navires!$H$2</f>
        <v>0</v>
      </c>
      <c r="AC68" s="118">
        <f>J68*Navires!$I$2</f>
        <v>0</v>
      </c>
      <c r="AD68" s="118">
        <f>K68*Navires!$J$2</f>
        <v>0</v>
      </c>
      <c r="AE68" s="118">
        <f>L68*Navires!$K$2</f>
        <v>0</v>
      </c>
      <c r="AF68" s="118">
        <f>M68*Navires!$L$2</f>
        <v>0</v>
      </c>
      <c r="AG68" s="118">
        <f>N68*Navires!$M$2</f>
        <v>0</v>
      </c>
      <c r="AH68" s="118">
        <f>O68*Navires!$N$2</f>
        <v>0</v>
      </c>
      <c r="AI68" s="118">
        <f>P68*Navires!$O$2</f>
        <v>0</v>
      </c>
      <c r="AJ68" s="118">
        <f>Q68*Navires!$P$2</f>
        <v>0</v>
      </c>
      <c r="AK68" s="35">
        <f>(SUM(V68:AJ68))*Générale!$B54</f>
        <v>0</v>
      </c>
    </row>
    <row r="69" spans="1:37" s="117" customFormat="1" x14ac:dyDescent="0.25">
      <c r="A69" s="117" t="s">
        <v>144</v>
      </c>
      <c r="B69" s="118" t="s">
        <v>151</v>
      </c>
      <c r="C69" s="118"/>
      <c r="D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32"/>
      <c r="R69" s="34">
        <f t="shared" si="13"/>
        <v>0</v>
      </c>
      <c r="U69" s="118" t="s">
        <v>151</v>
      </c>
      <c r="V69" s="118">
        <f>C69*Navires!$B$2</f>
        <v>0</v>
      </c>
      <c r="W69" s="118">
        <f>D69*Navires!$C$2</f>
        <v>0</v>
      </c>
      <c r="X69" s="118">
        <f>E69*Navires!$D$2</f>
        <v>0</v>
      </c>
      <c r="Y69" s="118">
        <f>F69*Navires!$E$2</f>
        <v>0</v>
      </c>
      <c r="Z69" s="118">
        <f>G69*Navires!$F$2</f>
        <v>0</v>
      </c>
      <c r="AA69" s="118">
        <f>H69*Navires!$G$2</f>
        <v>0</v>
      </c>
      <c r="AB69" s="118">
        <f>I69*Navires!$H$2</f>
        <v>0</v>
      </c>
      <c r="AC69" s="118">
        <f>J69*Navires!$I$2</f>
        <v>0</v>
      </c>
      <c r="AD69" s="118">
        <f>K69*Navires!$J$2</f>
        <v>0</v>
      </c>
      <c r="AE69" s="118">
        <f>L69*Navires!$K$2</f>
        <v>0</v>
      </c>
      <c r="AF69" s="118">
        <f>M69*Navires!$L$2</f>
        <v>0</v>
      </c>
      <c r="AG69" s="118">
        <f>N69*Navires!$M$2</f>
        <v>0</v>
      </c>
      <c r="AH69" s="118">
        <f>O69*Navires!$N$2</f>
        <v>0</v>
      </c>
      <c r="AI69" s="118">
        <f>P69*Navires!$O$2</f>
        <v>0</v>
      </c>
      <c r="AJ69" s="118">
        <f>Q69*Navires!$P$2</f>
        <v>0</v>
      </c>
      <c r="AK69" s="35">
        <f>(SUM(V69:AJ69))*Générale!$B55</f>
        <v>0</v>
      </c>
    </row>
    <row r="70" spans="1:37" s="117" customFormat="1" x14ac:dyDescent="0.25">
      <c r="A70" s="117" t="s">
        <v>145</v>
      </c>
      <c r="B70" s="118" t="s">
        <v>152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32"/>
      <c r="R70" s="34">
        <f t="shared" si="13"/>
        <v>0</v>
      </c>
      <c r="U70" s="118" t="s">
        <v>152</v>
      </c>
      <c r="V70" s="118">
        <f>C70*Navires!$B$2</f>
        <v>0</v>
      </c>
      <c r="W70" s="118">
        <f>D70*Navires!$C$2</f>
        <v>0</v>
      </c>
      <c r="X70" s="118">
        <f>E70*Navires!$D$2</f>
        <v>0</v>
      </c>
      <c r="Y70" s="118">
        <f>F70*Navires!$E$2</f>
        <v>0</v>
      </c>
      <c r="Z70" s="118">
        <f>G70*Navires!$F$2</f>
        <v>0</v>
      </c>
      <c r="AA70" s="118">
        <f>H70*Navires!$G$2</f>
        <v>0</v>
      </c>
      <c r="AB70" s="118">
        <f>I70*Navires!$H$2</f>
        <v>0</v>
      </c>
      <c r="AC70" s="118">
        <f>J70*Navires!$I$2</f>
        <v>0</v>
      </c>
      <c r="AD70" s="118">
        <f>K70*Navires!$J$2</f>
        <v>0</v>
      </c>
      <c r="AE70" s="118">
        <f>L70*Navires!$K$2</f>
        <v>0</v>
      </c>
      <c r="AF70" s="118">
        <f>M70*Navires!$L$2</f>
        <v>0</v>
      </c>
      <c r="AG70" s="118">
        <f>N70*Navires!$M$2</f>
        <v>0</v>
      </c>
      <c r="AH70" s="118">
        <f>O70*Navires!$N$2</f>
        <v>0</v>
      </c>
      <c r="AI70" s="118">
        <f>P70*Navires!$O$2</f>
        <v>0</v>
      </c>
      <c r="AJ70" s="118">
        <f>Q70*Navires!$P$2</f>
        <v>0</v>
      </c>
      <c r="AK70" s="35">
        <f>(SUM(V70:AJ70))*Générale!$B56</f>
        <v>0</v>
      </c>
    </row>
  </sheetData>
  <mergeCells count="12">
    <mergeCell ref="BF1:BT2"/>
    <mergeCell ref="BE18:BU19"/>
    <mergeCell ref="C50:Q51"/>
    <mergeCell ref="V50:AJ51"/>
    <mergeCell ref="C61:Q62"/>
    <mergeCell ref="U61:AK62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0"/>
  <sheetViews>
    <sheetView topLeftCell="BF7" workbookViewId="0">
      <selection activeCell="BU7" sqref="BU1:BU1048576"/>
    </sheetView>
  </sheetViews>
  <sheetFormatPr baseColWidth="10" defaultColWidth="11.42578125" defaultRowHeight="15" x14ac:dyDescent="0.25"/>
  <cols>
    <col min="1" max="1" width="7" style="63" customWidth="1"/>
    <col min="2" max="36" width="11.42578125" style="63"/>
    <col min="37" max="37" width="11.42578125" style="117"/>
    <col min="38" max="38" width="11.42578125" style="63"/>
    <col min="39" max="73" width="11.42578125" style="117"/>
    <col min="74" max="16384" width="11.42578125" style="63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s="63" t="s">
        <v>48</v>
      </c>
      <c r="B4" s="2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2"/>
      <c r="R4" s="34">
        <f>SUM(C4:Q4)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s="63" t="s">
        <v>49</v>
      </c>
      <c r="B5" s="2" t="s">
        <v>37</v>
      </c>
      <c r="C5" s="2"/>
      <c r="D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2">
        <v>1</v>
      </c>
      <c r="R5" s="34">
        <f t="shared" ref="R5:R16" si="0">SUM(C5:Q5)</f>
        <v>1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530</v>
      </c>
      <c r="AK5" s="35">
        <f>(SUM(V5:AJ5))*Générale!$B8</f>
        <v>530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1304</v>
      </c>
      <c r="BC5" s="185">
        <f>SUM(AN5:BB5)*Générale!$B$27</f>
        <v>652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570.4</v>
      </c>
      <c r="BU5" s="185">
        <f>SUM(BF5:BT5)*Générale!$B$23</f>
        <v>399.28</v>
      </c>
    </row>
    <row r="6" spans="1:73" x14ac:dyDescent="0.25">
      <c r="A6" s="63" t="s">
        <v>50</v>
      </c>
      <c r="B6" s="2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2"/>
      <c r="R6" s="34">
        <f t="shared" si="0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s="63" t="s">
        <v>51</v>
      </c>
      <c r="B7" s="2" t="s">
        <v>39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0</v>
      </c>
      <c r="U7" s="2" t="s">
        <v>39</v>
      </c>
      <c r="V7" s="2">
        <f>C7*Navires!$B$2</f>
        <v>0</v>
      </c>
      <c r="W7" s="2">
        <f>D7*Navires!$C$2</f>
        <v>0</v>
      </c>
      <c r="X7" s="2">
        <f>E7*Navires!$D$2</f>
        <v>0</v>
      </c>
      <c r="Y7" s="2">
        <f>F7*Navires!$E$2</f>
        <v>0</v>
      </c>
      <c r="Z7" s="2">
        <f>G7*Navires!$F$2</f>
        <v>0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0</v>
      </c>
      <c r="AM7" s="118" t="s">
        <v>39</v>
      </c>
      <c r="AN7" s="118">
        <f>C7*Navires!$B$6</f>
        <v>0</v>
      </c>
      <c r="AO7" s="118">
        <f>D7*Navires!$C$6</f>
        <v>0</v>
      </c>
      <c r="AP7" s="118">
        <f>E7*Navires!$D$6</f>
        <v>0</v>
      </c>
      <c r="AQ7" s="118">
        <f>F7*Navires!$E$6</f>
        <v>0</v>
      </c>
      <c r="AR7" s="118">
        <f>G7*Navires!$F$6</f>
        <v>0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0</v>
      </c>
      <c r="BE7" s="118" t="s">
        <v>39</v>
      </c>
      <c r="BF7" s="118">
        <f>C7*Navires!$B$6</f>
        <v>0</v>
      </c>
      <c r="BG7" s="118">
        <f>D7*Navires!$B$6</f>
        <v>0</v>
      </c>
      <c r="BH7" s="118">
        <f>E7*Navires!$B$6</f>
        <v>0</v>
      </c>
      <c r="BI7" s="118">
        <f>F7*Navires!$B$6</f>
        <v>0</v>
      </c>
      <c r="BJ7" s="118">
        <f>G7*Navires!$B$6</f>
        <v>0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0</v>
      </c>
    </row>
    <row r="8" spans="1:73" x14ac:dyDescent="0.25">
      <c r="A8" s="63" t="s">
        <v>52</v>
      </c>
      <c r="B8" s="2" t="s">
        <v>40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0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0</v>
      </c>
      <c r="Z8" s="2">
        <f>G8*Navires!$F$2</f>
        <v>0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0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0</v>
      </c>
      <c r="AR8" s="118">
        <f>G8*Navires!$F$6</f>
        <v>0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0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0</v>
      </c>
      <c r="BJ8" s="118">
        <f>G8*Navires!$B$6</f>
        <v>0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0</v>
      </c>
    </row>
    <row r="9" spans="1:73" x14ac:dyDescent="0.25">
      <c r="A9" s="63" t="s">
        <v>53</v>
      </c>
      <c r="B9" s="2" t="s">
        <v>41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0</v>
      </c>
      <c r="U9" s="2" t="s">
        <v>41</v>
      </c>
      <c r="V9" s="2">
        <f>C9*Navires!$B$2</f>
        <v>0</v>
      </c>
      <c r="W9" s="2">
        <f>D9*Navires!$C$2</f>
        <v>0</v>
      </c>
      <c r="X9" s="2">
        <f>E9*Navires!$D$2</f>
        <v>0</v>
      </c>
      <c r="Y9" s="2">
        <f>F9*Navires!$E$2</f>
        <v>0</v>
      </c>
      <c r="Z9" s="2">
        <f>G9*Navires!$F$2</f>
        <v>0</v>
      </c>
      <c r="AA9" s="2">
        <f>H9*Navires!$G$2</f>
        <v>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0</v>
      </c>
      <c r="AM9" s="118" t="s">
        <v>41</v>
      </c>
      <c r="AN9" s="118">
        <f>C9*Navires!$B$6</f>
        <v>0</v>
      </c>
      <c r="AO9" s="118">
        <f>D9*Navires!$C$6</f>
        <v>0</v>
      </c>
      <c r="AP9" s="118">
        <f>E9*Navires!$D$6</f>
        <v>0</v>
      </c>
      <c r="AQ9" s="118">
        <f>F9*Navires!$E$6</f>
        <v>0</v>
      </c>
      <c r="AR9" s="118">
        <f>G9*Navires!$F$6</f>
        <v>0</v>
      </c>
      <c r="AS9" s="118">
        <f>H9*Navires!$G$6</f>
        <v>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0</v>
      </c>
      <c r="BE9" s="118" t="s">
        <v>41</v>
      </c>
      <c r="BF9" s="118">
        <f>C9*Navires!$B$6</f>
        <v>0</v>
      </c>
      <c r="BG9" s="118">
        <f>D9*Navires!$B$6</f>
        <v>0</v>
      </c>
      <c r="BH9" s="118">
        <f>E9*Navires!$B$6</f>
        <v>0</v>
      </c>
      <c r="BI9" s="118">
        <f>F9*Navires!$B$6</f>
        <v>0</v>
      </c>
      <c r="BJ9" s="118">
        <f>G9*Navires!$B$6</f>
        <v>0</v>
      </c>
      <c r="BK9" s="118">
        <f>H9*Navires!$B$6</f>
        <v>0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0</v>
      </c>
    </row>
    <row r="10" spans="1:73" x14ac:dyDescent="0.25">
      <c r="A10" s="63" t="s">
        <v>54</v>
      </c>
      <c r="B10" s="2" t="s">
        <v>42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0</v>
      </c>
      <c r="U10" s="2" t="s">
        <v>42</v>
      </c>
      <c r="V10" s="2">
        <f>C10*Navires!$B$2</f>
        <v>0</v>
      </c>
      <c r="W10" s="2">
        <f>D10*Navires!$C$2</f>
        <v>0</v>
      </c>
      <c r="X10" s="2">
        <f>E10*Navires!$D$2</f>
        <v>0</v>
      </c>
      <c r="Y10" s="2">
        <f>F10*Navires!$E$2</f>
        <v>0</v>
      </c>
      <c r="Z10" s="2">
        <f>G10*Navires!$F$2</f>
        <v>0</v>
      </c>
      <c r="AA10" s="2">
        <f>H10*Navires!$G$2</f>
        <v>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0</v>
      </c>
      <c r="AM10" s="118" t="s">
        <v>42</v>
      </c>
      <c r="AN10" s="118">
        <f>C10*Navires!$B$6</f>
        <v>0</v>
      </c>
      <c r="AO10" s="118">
        <f>D10*Navires!$C$6</f>
        <v>0</v>
      </c>
      <c r="AP10" s="118">
        <f>E10*Navires!$D$6</f>
        <v>0</v>
      </c>
      <c r="AQ10" s="118">
        <f>F10*Navires!$E$6</f>
        <v>0</v>
      </c>
      <c r="AR10" s="118">
        <f>G10*Navires!$F$6</f>
        <v>0</v>
      </c>
      <c r="AS10" s="118">
        <f>H10*Navires!$G$6</f>
        <v>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0</v>
      </c>
      <c r="BE10" s="118" t="s">
        <v>42</v>
      </c>
      <c r="BF10" s="118">
        <f>C10*Navires!$B$6</f>
        <v>0</v>
      </c>
      <c r="BG10" s="118">
        <f>D10*Navires!$B$6</f>
        <v>0</v>
      </c>
      <c r="BH10" s="118">
        <f>E10*Navires!$B$6</f>
        <v>0</v>
      </c>
      <c r="BI10" s="118">
        <f>F10*Navires!$B$6</f>
        <v>0</v>
      </c>
      <c r="BJ10" s="118">
        <f>G10*Navires!$B$6</f>
        <v>0</v>
      </c>
      <c r="BK10" s="118">
        <f>H10*Navires!$B$6</f>
        <v>0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0</v>
      </c>
    </row>
    <row r="11" spans="1:73" x14ac:dyDescent="0.25">
      <c r="A11" s="63" t="s">
        <v>55</v>
      </c>
      <c r="B11" s="2" t="s">
        <v>43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0</v>
      </c>
      <c r="U11" s="2" t="s">
        <v>43</v>
      </c>
      <c r="V11" s="2">
        <f>C11*Navires!$B$2</f>
        <v>0</v>
      </c>
      <c r="W11" s="2">
        <f>D11*Navires!$C$2</f>
        <v>0</v>
      </c>
      <c r="X11" s="2">
        <f>E11*Navires!$D$2</f>
        <v>0</v>
      </c>
      <c r="Y11" s="2">
        <f>F11*Navires!$E$2</f>
        <v>0</v>
      </c>
      <c r="Z11" s="2">
        <f>G11*Navires!$F$2</f>
        <v>0</v>
      </c>
      <c r="AA11" s="2">
        <f>H11*Navires!$G$2</f>
        <v>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0</v>
      </c>
      <c r="AM11" s="118" t="s">
        <v>43</v>
      </c>
      <c r="AN11" s="118">
        <f>C11*Navires!$B$6</f>
        <v>0</v>
      </c>
      <c r="AO11" s="118">
        <f>D11*Navires!$C$6</f>
        <v>0</v>
      </c>
      <c r="AP11" s="118">
        <f>E11*Navires!$D$6</f>
        <v>0</v>
      </c>
      <c r="AQ11" s="118">
        <f>F11*Navires!$E$6</f>
        <v>0</v>
      </c>
      <c r="AR11" s="118">
        <f>G11*Navires!$F$6</f>
        <v>0</v>
      </c>
      <c r="AS11" s="118">
        <f>H11*Navires!$G$6</f>
        <v>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0</v>
      </c>
      <c r="BE11" s="118" t="s">
        <v>43</v>
      </c>
      <c r="BF11" s="118">
        <f>C11*Navires!$B$6</f>
        <v>0</v>
      </c>
      <c r="BG11" s="118">
        <f>D11*Navires!$B$6</f>
        <v>0</v>
      </c>
      <c r="BH11" s="118">
        <f>E11*Navires!$B$6</f>
        <v>0</v>
      </c>
      <c r="BI11" s="118">
        <f>F11*Navires!$B$6</f>
        <v>0</v>
      </c>
      <c r="BJ11" s="118">
        <f>G11*Navires!$B$6</f>
        <v>0</v>
      </c>
      <c r="BK11" s="118">
        <f>H11*Navires!$B$6</f>
        <v>0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0</v>
      </c>
    </row>
    <row r="12" spans="1:73" x14ac:dyDescent="0.25">
      <c r="A12" s="63" t="s">
        <v>56</v>
      </c>
      <c r="B12" s="2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0</v>
      </c>
      <c r="U12" s="2" t="s">
        <v>44</v>
      </c>
      <c r="V12" s="2">
        <f>C12*Navires!$B$2</f>
        <v>0</v>
      </c>
      <c r="W12" s="2">
        <f>D12*Navires!$C$2</f>
        <v>0</v>
      </c>
      <c r="X12" s="2">
        <f>E12*Navires!$D$2</f>
        <v>0</v>
      </c>
      <c r="Y12" s="2">
        <f>F12*Navires!$E$2</f>
        <v>0</v>
      </c>
      <c r="Z12" s="2">
        <f>G12*Navires!$F$2</f>
        <v>0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0</v>
      </c>
      <c r="AM12" s="118" t="s">
        <v>44</v>
      </c>
      <c r="AN12" s="118">
        <f>C12*Navires!$B$6</f>
        <v>0</v>
      </c>
      <c r="AO12" s="118">
        <f>D12*Navires!$C$6</f>
        <v>0</v>
      </c>
      <c r="AP12" s="118">
        <f>E12*Navires!$D$6</f>
        <v>0</v>
      </c>
      <c r="AQ12" s="118">
        <f>F12*Navires!$E$6</f>
        <v>0</v>
      </c>
      <c r="AR12" s="118">
        <f>G12*Navires!$F$6</f>
        <v>0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0</v>
      </c>
      <c r="BE12" s="118" t="s">
        <v>44</v>
      </c>
      <c r="BF12" s="118">
        <f>C12*Navires!$B$6</f>
        <v>0</v>
      </c>
      <c r="BG12" s="118">
        <f>D12*Navires!$B$6</f>
        <v>0</v>
      </c>
      <c r="BH12" s="118">
        <f>E12*Navires!$B$6</f>
        <v>0</v>
      </c>
      <c r="BI12" s="118">
        <f>F12*Navires!$B$6</f>
        <v>0</v>
      </c>
      <c r="BJ12" s="118">
        <f>G12*Navires!$B$6</f>
        <v>0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0</v>
      </c>
    </row>
    <row r="13" spans="1:73" x14ac:dyDescent="0.25">
      <c r="A13" s="63" t="s">
        <v>57</v>
      </c>
      <c r="B13" s="2" t="s">
        <v>45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0</v>
      </c>
      <c r="U13" s="2" t="s">
        <v>45</v>
      </c>
      <c r="V13" s="2">
        <f>C13*Navires!$B$2</f>
        <v>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0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0</v>
      </c>
      <c r="AM13" s="118" t="s">
        <v>45</v>
      </c>
      <c r="AN13" s="118">
        <f>C13*Navires!$B$6</f>
        <v>0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0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0</v>
      </c>
      <c r="BE13" s="118" t="s">
        <v>45</v>
      </c>
      <c r="BF13" s="118">
        <f>C13*Navires!$B$6</f>
        <v>0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0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0</v>
      </c>
    </row>
    <row r="14" spans="1:73" x14ac:dyDescent="0.25">
      <c r="A14" s="63" t="s">
        <v>58</v>
      </c>
      <c r="B14" s="2" t="s">
        <v>46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s="63" t="s">
        <v>59</v>
      </c>
      <c r="B15" s="2" t="s">
        <v>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0</v>
      </c>
      <c r="D16" s="30">
        <f t="shared" ref="D16:Q16" si="1">SUM(D4:D15)</f>
        <v>0</v>
      </c>
      <c r="E16" s="30">
        <f t="shared" si="1"/>
        <v>0</v>
      </c>
      <c r="F16" s="30">
        <f t="shared" si="1"/>
        <v>0</v>
      </c>
      <c r="G16" s="30">
        <f t="shared" si="1"/>
        <v>0</v>
      </c>
      <c r="H16" s="30">
        <f t="shared" si="1"/>
        <v>0</v>
      </c>
      <c r="I16" s="30">
        <f t="shared" si="1"/>
        <v>0</v>
      </c>
      <c r="J16" s="30">
        <f t="shared" si="1"/>
        <v>0</v>
      </c>
      <c r="K16" s="30">
        <f t="shared" si="1"/>
        <v>0</v>
      </c>
      <c r="L16" s="30">
        <f t="shared" si="1"/>
        <v>0</v>
      </c>
      <c r="M16" s="30">
        <f t="shared" si="1"/>
        <v>0</v>
      </c>
      <c r="N16" s="30">
        <f t="shared" si="1"/>
        <v>0</v>
      </c>
      <c r="O16" s="30">
        <f t="shared" si="1"/>
        <v>0</v>
      </c>
      <c r="P16" s="30">
        <f t="shared" si="1"/>
        <v>0</v>
      </c>
      <c r="Q16" s="30">
        <f t="shared" si="1"/>
        <v>1</v>
      </c>
      <c r="R16" s="34">
        <f t="shared" si="0"/>
        <v>1</v>
      </c>
      <c r="U16" s="29" t="s">
        <v>60</v>
      </c>
      <c r="V16" s="30">
        <f>SUM(V4:V15)</f>
        <v>0</v>
      </c>
      <c r="W16" s="30">
        <f t="shared" ref="W16:AJ16" si="2">SUM(W4:W15)</f>
        <v>0</v>
      </c>
      <c r="X16" s="30">
        <f t="shared" si="2"/>
        <v>0</v>
      </c>
      <c r="Y16" s="30">
        <f t="shared" si="2"/>
        <v>0</v>
      </c>
      <c r="Z16" s="30">
        <f t="shared" si="2"/>
        <v>0</v>
      </c>
      <c r="AA16" s="30">
        <f t="shared" si="2"/>
        <v>0</v>
      </c>
      <c r="AB16" s="30">
        <f t="shared" si="2"/>
        <v>0</v>
      </c>
      <c r="AC16" s="30">
        <f t="shared" si="2"/>
        <v>0</v>
      </c>
      <c r="AD16" s="30">
        <f t="shared" si="2"/>
        <v>0</v>
      </c>
      <c r="AE16" s="30">
        <f t="shared" si="2"/>
        <v>0</v>
      </c>
      <c r="AF16" s="30">
        <f t="shared" si="2"/>
        <v>0</v>
      </c>
      <c r="AG16" s="30">
        <f t="shared" si="2"/>
        <v>0</v>
      </c>
      <c r="AH16" s="30">
        <f t="shared" si="2"/>
        <v>0</v>
      </c>
      <c r="AI16" s="30">
        <f t="shared" si="2"/>
        <v>0</v>
      </c>
      <c r="AJ16" s="30">
        <f t="shared" si="2"/>
        <v>530</v>
      </c>
      <c r="AM16" s="29" t="s">
        <v>60</v>
      </c>
      <c r="AN16" s="30">
        <f>SUM(AN4:AN15)</f>
        <v>0</v>
      </c>
      <c r="AO16" s="30">
        <f t="shared" ref="AO16:BB16" si="3">SUM(AO4:AO15)</f>
        <v>0</v>
      </c>
      <c r="AP16" s="30">
        <f t="shared" si="3"/>
        <v>0</v>
      </c>
      <c r="AQ16" s="30">
        <f t="shared" si="3"/>
        <v>0</v>
      </c>
      <c r="AR16" s="30">
        <f t="shared" si="3"/>
        <v>0</v>
      </c>
      <c r="AS16" s="30">
        <f t="shared" si="3"/>
        <v>0</v>
      </c>
      <c r="AT16" s="30">
        <f t="shared" si="3"/>
        <v>0</v>
      </c>
      <c r="AU16" s="30">
        <f t="shared" si="3"/>
        <v>0</v>
      </c>
      <c r="AV16" s="30">
        <f t="shared" si="3"/>
        <v>0</v>
      </c>
      <c r="AW16" s="30">
        <f t="shared" si="3"/>
        <v>0</v>
      </c>
      <c r="AX16" s="30">
        <f t="shared" si="3"/>
        <v>0</v>
      </c>
      <c r="AY16" s="30">
        <f t="shared" si="3"/>
        <v>0</v>
      </c>
      <c r="AZ16" s="30">
        <f t="shared" si="3"/>
        <v>0</v>
      </c>
      <c r="BA16" s="30">
        <f t="shared" si="3"/>
        <v>0</v>
      </c>
      <c r="BB16" s="30">
        <f t="shared" si="3"/>
        <v>1304</v>
      </c>
      <c r="BE16" s="29" t="s">
        <v>60</v>
      </c>
      <c r="BF16" s="30">
        <f>SUM(BF4:BF15)</f>
        <v>0</v>
      </c>
      <c r="BG16" s="30">
        <f t="shared" ref="BG16:BT16" si="4">SUM(BG4:BG15)</f>
        <v>0</v>
      </c>
      <c r="BH16" s="30">
        <f t="shared" si="4"/>
        <v>0</v>
      </c>
      <c r="BI16" s="30">
        <f t="shared" si="4"/>
        <v>0</v>
      </c>
      <c r="BJ16" s="30">
        <f t="shared" si="4"/>
        <v>0</v>
      </c>
      <c r="BK16" s="30">
        <f t="shared" si="4"/>
        <v>0</v>
      </c>
      <c r="BL16" s="30">
        <f t="shared" si="4"/>
        <v>0</v>
      </c>
      <c r="BM16" s="30">
        <f t="shared" si="4"/>
        <v>0</v>
      </c>
      <c r="BN16" s="30">
        <f t="shared" si="4"/>
        <v>0</v>
      </c>
      <c r="BO16" s="30">
        <f t="shared" si="4"/>
        <v>0</v>
      </c>
      <c r="BP16" s="30">
        <f t="shared" si="4"/>
        <v>0</v>
      </c>
      <c r="BQ16" s="30">
        <f t="shared" si="4"/>
        <v>0</v>
      </c>
      <c r="BR16" s="30">
        <f t="shared" si="4"/>
        <v>0</v>
      </c>
      <c r="BS16" s="30">
        <f t="shared" si="4"/>
        <v>0</v>
      </c>
      <c r="BT16" s="30">
        <f t="shared" si="4"/>
        <v>570.4</v>
      </c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s="63" t="s">
        <v>48</v>
      </c>
      <c r="B21" s="2" t="s">
        <v>36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0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0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0</v>
      </c>
    </row>
    <row r="22" spans="1:73" x14ac:dyDescent="0.25">
      <c r="A22" s="63" t="s">
        <v>49</v>
      </c>
      <c r="B22" s="2" t="s">
        <v>37</v>
      </c>
      <c r="C22" s="2"/>
      <c r="D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2">
        <v>1</v>
      </c>
      <c r="R22" s="34">
        <f t="shared" ref="R22:R33" si="5">SUM(C22:Q22)</f>
        <v>1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530</v>
      </c>
      <c r="AK22" s="35">
        <f>(SUM(V22:AJ22))*Générale!$B8</f>
        <v>530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1304</v>
      </c>
      <c r="BC22" s="185">
        <f>SUM(AN22:BB22)*Générale!$B$27</f>
        <v>652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570.4</v>
      </c>
      <c r="BU22" s="185">
        <f>SUM(BF22:BT22)*Générale!$B$23</f>
        <v>399.28</v>
      </c>
    </row>
    <row r="23" spans="1:73" x14ac:dyDescent="0.25">
      <c r="A23" s="63" t="s">
        <v>50</v>
      </c>
      <c r="B23" s="2" t="s">
        <v>38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2"/>
      <c r="R23" s="34">
        <f t="shared" si="5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s="63" t="s">
        <v>51</v>
      </c>
      <c r="B24" s="2" t="s">
        <v>39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2"/>
      <c r="R24" s="34">
        <f t="shared" si="5"/>
        <v>0</v>
      </c>
      <c r="U24" s="2" t="s">
        <v>39</v>
      </c>
      <c r="V24" s="2">
        <f>C24*Navires!$B$2</f>
        <v>0</v>
      </c>
      <c r="W24" s="2">
        <f>D24*Navires!$C$2</f>
        <v>0</v>
      </c>
      <c r="X24" s="2">
        <f>E24*Navires!$D$2</f>
        <v>0</v>
      </c>
      <c r="Y24" s="2">
        <f>F24*Navires!$E$2</f>
        <v>0</v>
      </c>
      <c r="Z24" s="2">
        <f>G24*Navires!$F$2</f>
        <v>0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0</v>
      </c>
      <c r="AM24" s="118" t="s">
        <v>39</v>
      </c>
      <c r="AN24" s="118">
        <f>C24*Navires!$B$6</f>
        <v>0</v>
      </c>
      <c r="AO24" s="118">
        <f>D24*Navires!$C$6</f>
        <v>0</v>
      </c>
      <c r="AP24" s="118">
        <f>E24*Navires!$D$6</f>
        <v>0</v>
      </c>
      <c r="AQ24" s="118">
        <f>F24*Navires!$E$6</f>
        <v>0</v>
      </c>
      <c r="AR24" s="118">
        <f>G24*Navires!$F$6</f>
        <v>0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0</v>
      </c>
      <c r="BE24" s="118" t="s">
        <v>39</v>
      </c>
      <c r="BF24" s="118">
        <f>C24*Navires!$B$6</f>
        <v>0</v>
      </c>
      <c r="BG24" s="118">
        <f>D24*Navires!$B$6</f>
        <v>0</v>
      </c>
      <c r="BH24" s="118">
        <f>E24*Navires!$B$6</f>
        <v>0</v>
      </c>
      <c r="BI24" s="118">
        <f>F24*Navires!$B$6</f>
        <v>0</v>
      </c>
      <c r="BJ24" s="118">
        <f>G24*Navires!$B$6</f>
        <v>0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0</v>
      </c>
    </row>
    <row r="25" spans="1:73" x14ac:dyDescent="0.25">
      <c r="A25" s="63" t="s">
        <v>52</v>
      </c>
      <c r="B25" s="2" t="s">
        <v>40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2"/>
      <c r="R25" s="34">
        <f t="shared" si="5"/>
        <v>0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0</v>
      </c>
      <c r="Z25" s="2">
        <f>G25*Navires!$F$2</f>
        <v>0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0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0</v>
      </c>
      <c r="AR25" s="118">
        <f>G25*Navires!$F$6</f>
        <v>0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0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0</v>
      </c>
      <c r="BJ25" s="118">
        <f>G25*Navires!$B$6</f>
        <v>0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0</v>
      </c>
    </row>
    <row r="26" spans="1:73" x14ac:dyDescent="0.25">
      <c r="A26" s="63" t="s">
        <v>53</v>
      </c>
      <c r="B26" s="2" t="s">
        <v>41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2"/>
      <c r="R26" s="34">
        <f t="shared" si="5"/>
        <v>0</v>
      </c>
      <c r="U26" s="2" t="s">
        <v>41</v>
      </c>
      <c r="V26" s="2">
        <f>C26*Navires!$B$2</f>
        <v>0</v>
      </c>
      <c r="W26" s="2">
        <f>D26*Navires!$C$2</f>
        <v>0</v>
      </c>
      <c r="X26" s="2">
        <f>E26*Navires!$D$2</f>
        <v>0</v>
      </c>
      <c r="Y26" s="2">
        <f>F26*Navires!$E$2</f>
        <v>0</v>
      </c>
      <c r="Z26" s="2">
        <f>G26*Navires!$F$2</f>
        <v>0</v>
      </c>
      <c r="AA26" s="2">
        <f>H26*Navires!$G$2</f>
        <v>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0</v>
      </c>
      <c r="AM26" s="118" t="s">
        <v>41</v>
      </c>
      <c r="AN26" s="118">
        <f>C26*Navires!$B$6</f>
        <v>0</v>
      </c>
      <c r="AO26" s="118">
        <f>D26*Navires!$C$6</f>
        <v>0</v>
      </c>
      <c r="AP26" s="118">
        <f>E26*Navires!$D$6</f>
        <v>0</v>
      </c>
      <c r="AQ26" s="118">
        <f>F26*Navires!$E$6</f>
        <v>0</v>
      </c>
      <c r="AR26" s="118">
        <f>G26*Navires!$F$6</f>
        <v>0</v>
      </c>
      <c r="AS26" s="118">
        <f>H26*Navires!$G$6</f>
        <v>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0</v>
      </c>
      <c r="BE26" s="118" t="s">
        <v>41</v>
      </c>
      <c r="BF26" s="118">
        <f>C26*Navires!$B$6</f>
        <v>0</v>
      </c>
      <c r="BG26" s="118">
        <f>D26*Navires!$B$6</f>
        <v>0</v>
      </c>
      <c r="BH26" s="118">
        <f>E26*Navires!$B$6</f>
        <v>0</v>
      </c>
      <c r="BI26" s="118">
        <f>F26*Navires!$B$6</f>
        <v>0</v>
      </c>
      <c r="BJ26" s="118">
        <f>G26*Navires!$B$6</f>
        <v>0</v>
      </c>
      <c r="BK26" s="118">
        <f>H26*Navires!$B$6</f>
        <v>0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0</v>
      </c>
    </row>
    <row r="27" spans="1:73" x14ac:dyDescent="0.25">
      <c r="A27" s="63" t="s">
        <v>54</v>
      </c>
      <c r="B27" s="2" t="s">
        <v>42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2"/>
      <c r="R27" s="34">
        <f t="shared" si="5"/>
        <v>0</v>
      </c>
      <c r="U27" s="2" t="s">
        <v>42</v>
      </c>
      <c r="V27" s="2">
        <f>C27*Navires!$B$2</f>
        <v>0</v>
      </c>
      <c r="W27" s="2">
        <f>D27*Navires!$C$2</f>
        <v>0</v>
      </c>
      <c r="X27" s="2">
        <f>E27*Navires!$D$2</f>
        <v>0</v>
      </c>
      <c r="Y27" s="2">
        <f>F27*Navires!$E$2</f>
        <v>0</v>
      </c>
      <c r="Z27" s="2">
        <f>G27*Navires!$F$2</f>
        <v>0</v>
      </c>
      <c r="AA27" s="2">
        <f>H27*Navires!$G$2</f>
        <v>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0</v>
      </c>
      <c r="AM27" s="118" t="s">
        <v>42</v>
      </c>
      <c r="AN27" s="118">
        <f>C27*Navires!$B$6</f>
        <v>0</v>
      </c>
      <c r="AO27" s="118">
        <f>D27*Navires!$C$6</f>
        <v>0</v>
      </c>
      <c r="AP27" s="118">
        <f>E27*Navires!$D$6</f>
        <v>0</v>
      </c>
      <c r="AQ27" s="118">
        <f>F27*Navires!$E$6</f>
        <v>0</v>
      </c>
      <c r="AR27" s="118">
        <f>G27*Navires!$F$6</f>
        <v>0</v>
      </c>
      <c r="AS27" s="118">
        <f>H27*Navires!$G$6</f>
        <v>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0</v>
      </c>
      <c r="BE27" s="118" t="s">
        <v>42</v>
      </c>
      <c r="BF27" s="118">
        <f>C27*Navires!$B$6</f>
        <v>0</v>
      </c>
      <c r="BG27" s="118">
        <f>D27*Navires!$B$6</f>
        <v>0</v>
      </c>
      <c r="BH27" s="118">
        <f>E27*Navires!$B$6</f>
        <v>0</v>
      </c>
      <c r="BI27" s="118">
        <f>F27*Navires!$B$6</f>
        <v>0</v>
      </c>
      <c r="BJ27" s="118">
        <f>G27*Navires!$B$6</f>
        <v>0</v>
      </c>
      <c r="BK27" s="118">
        <f>H27*Navires!$B$6</f>
        <v>0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0</v>
      </c>
    </row>
    <row r="28" spans="1:73" x14ac:dyDescent="0.25">
      <c r="A28" s="63" t="s">
        <v>55</v>
      </c>
      <c r="B28" s="2" t="s">
        <v>43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2"/>
      <c r="R28" s="34">
        <f t="shared" si="5"/>
        <v>0</v>
      </c>
      <c r="U28" s="2" t="s">
        <v>43</v>
      </c>
      <c r="V28" s="2">
        <f>C28*Navires!$B$2</f>
        <v>0</v>
      </c>
      <c r="W28" s="2">
        <f>D28*Navires!$C$2</f>
        <v>0</v>
      </c>
      <c r="X28" s="2">
        <f>E28*Navires!$D$2</f>
        <v>0</v>
      </c>
      <c r="Y28" s="2">
        <f>F28*Navires!$E$2</f>
        <v>0</v>
      </c>
      <c r="Z28" s="2">
        <f>G28*Navires!$F$2</f>
        <v>0</v>
      </c>
      <c r="AA28" s="2">
        <f>H28*Navires!$G$2</f>
        <v>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0</v>
      </c>
      <c r="AM28" s="118" t="s">
        <v>43</v>
      </c>
      <c r="AN28" s="118">
        <f>C28*Navires!$B$6</f>
        <v>0</v>
      </c>
      <c r="AO28" s="118">
        <f>D28*Navires!$C$6</f>
        <v>0</v>
      </c>
      <c r="AP28" s="118">
        <f>E28*Navires!$D$6</f>
        <v>0</v>
      </c>
      <c r="AQ28" s="118">
        <f>F28*Navires!$E$6</f>
        <v>0</v>
      </c>
      <c r="AR28" s="118">
        <f>G28*Navires!$F$6</f>
        <v>0</v>
      </c>
      <c r="AS28" s="118">
        <f>H28*Navires!$G$6</f>
        <v>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0</v>
      </c>
      <c r="BE28" s="118" t="s">
        <v>43</v>
      </c>
      <c r="BF28" s="118">
        <f>C28*Navires!$B$6</f>
        <v>0</v>
      </c>
      <c r="BG28" s="118">
        <f>D28*Navires!$B$6</f>
        <v>0</v>
      </c>
      <c r="BH28" s="118">
        <f>E28*Navires!$B$6</f>
        <v>0</v>
      </c>
      <c r="BI28" s="118">
        <f>F28*Navires!$B$6</f>
        <v>0</v>
      </c>
      <c r="BJ28" s="118">
        <f>G28*Navires!$B$6</f>
        <v>0</v>
      </c>
      <c r="BK28" s="118">
        <f>H28*Navires!$B$6</f>
        <v>0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0</v>
      </c>
    </row>
    <row r="29" spans="1:73" x14ac:dyDescent="0.25">
      <c r="A29" s="63" t="s">
        <v>56</v>
      </c>
      <c r="B29" s="2" t="s">
        <v>44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2"/>
      <c r="R29" s="34">
        <f t="shared" si="5"/>
        <v>0</v>
      </c>
      <c r="U29" s="2" t="s">
        <v>44</v>
      </c>
      <c r="V29" s="2">
        <f>C29*Navires!$B$2</f>
        <v>0</v>
      </c>
      <c r="W29" s="2">
        <f>D29*Navires!$C$2</f>
        <v>0</v>
      </c>
      <c r="X29" s="2">
        <f>E29*Navires!$D$2</f>
        <v>0</v>
      </c>
      <c r="Y29" s="2">
        <f>F29*Navires!$E$2</f>
        <v>0</v>
      </c>
      <c r="Z29" s="2">
        <f>G29*Navires!$F$2</f>
        <v>0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0</v>
      </c>
      <c r="AM29" s="118" t="s">
        <v>44</v>
      </c>
      <c r="AN29" s="118">
        <f>C29*Navires!$B$6</f>
        <v>0</v>
      </c>
      <c r="AO29" s="118">
        <f>D29*Navires!$C$6</f>
        <v>0</v>
      </c>
      <c r="AP29" s="118">
        <f>E29*Navires!$D$6</f>
        <v>0</v>
      </c>
      <c r="AQ29" s="118">
        <f>F29*Navires!$E$6</f>
        <v>0</v>
      </c>
      <c r="AR29" s="118">
        <f>G29*Navires!$F$6</f>
        <v>0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0</v>
      </c>
      <c r="BE29" s="118" t="s">
        <v>44</v>
      </c>
      <c r="BF29" s="118">
        <f>C29*Navires!$B$6</f>
        <v>0</v>
      </c>
      <c r="BG29" s="118">
        <f>D29*Navires!$B$6</f>
        <v>0</v>
      </c>
      <c r="BH29" s="118">
        <f>E29*Navires!$B$6</f>
        <v>0</v>
      </c>
      <c r="BI29" s="118">
        <f>F29*Navires!$B$6</f>
        <v>0</v>
      </c>
      <c r="BJ29" s="118">
        <f>G29*Navires!$B$6</f>
        <v>0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0</v>
      </c>
    </row>
    <row r="30" spans="1:73" x14ac:dyDescent="0.25">
      <c r="A30" s="63" t="s">
        <v>57</v>
      </c>
      <c r="B30" s="2" t="s">
        <v>45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2"/>
      <c r="R30" s="34">
        <f t="shared" si="5"/>
        <v>0</v>
      </c>
      <c r="U30" s="2" t="s">
        <v>45</v>
      </c>
      <c r="V30" s="2">
        <f>C30*Navires!$B$2</f>
        <v>0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0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0</v>
      </c>
      <c r="AM30" s="118" t="s">
        <v>45</v>
      </c>
      <c r="AN30" s="118">
        <f>C30*Navires!$B$6</f>
        <v>0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0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0</v>
      </c>
      <c r="BE30" s="118" t="s">
        <v>45</v>
      </c>
      <c r="BF30" s="118">
        <f>C30*Navires!$B$6</f>
        <v>0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0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0</v>
      </c>
    </row>
    <row r="31" spans="1:73" x14ac:dyDescent="0.25">
      <c r="A31" s="63" t="s">
        <v>58</v>
      </c>
      <c r="B31" s="2" t="s">
        <v>46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2"/>
      <c r="R31" s="34">
        <f t="shared" si="5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s="63" t="s">
        <v>59</v>
      </c>
      <c r="B32" s="2" t="s">
        <v>47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2"/>
      <c r="R32" s="34">
        <f t="shared" si="5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0</v>
      </c>
      <c r="D33" s="34">
        <f t="shared" ref="D33:E33" si="6">SUM(D21:D32)</f>
        <v>0</v>
      </c>
      <c r="E33" s="34">
        <f t="shared" si="6"/>
        <v>0</v>
      </c>
      <c r="F33" s="34">
        <f>SUM(F21:F32)</f>
        <v>0</v>
      </c>
      <c r="G33" s="34">
        <f>SUM(G21:G32)</f>
        <v>0</v>
      </c>
      <c r="H33" s="34">
        <f t="shared" ref="H33:Q33" si="7">SUM(H21:H32)</f>
        <v>0</v>
      </c>
      <c r="I33" s="34">
        <f t="shared" si="7"/>
        <v>0</v>
      </c>
      <c r="J33" s="34">
        <f t="shared" si="7"/>
        <v>0</v>
      </c>
      <c r="K33" s="34">
        <f t="shared" si="7"/>
        <v>0</v>
      </c>
      <c r="L33" s="34">
        <f t="shared" si="7"/>
        <v>0</v>
      </c>
      <c r="M33" s="34">
        <f t="shared" si="7"/>
        <v>0</v>
      </c>
      <c r="N33" s="34">
        <f t="shared" si="7"/>
        <v>0</v>
      </c>
      <c r="O33" s="34">
        <f t="shared" si="7"/>
        <v>0</v>
      </c>
      <c r="P33" s="34">
        <f t="shared" si="7"/>
        <v>0</v>
      </c>
      <c r="Q33" s="34">
        <f t="shared" si="7"/>
        <v>1</v>
      </c>
      <c r="R33" s="34">
        <f t="shared" si="5"/>
        <v>1</v>
      </c>
      <c r="U33" s="34" t="s">
        <v>60</v>
      </c>
      <c r="V33" s="34">
        <f>SUM(V21:V32)</f>
        <v>0</v>
      </c>
      <c r="W33" s="34">
        <f t="shared" ref="W33:AJ33" si="8">SUM(W21:W32)</f>
        <v>0</v>
      </c>
      <c r="X33" s="34">
        <f t="shared" si="8"/>
        <v>0</v>
      </c>
      <c r="Y33" s="34">
        <f t="shared" si="8"/>
        <v>0</v>
      </c>
      <c r="Z33" s="34">
        <f t="shared" si="8"/>
        <v>0</v>
      </c>
      <c r="AA33" s="34">
        <f t="shared" si="8"/>
        <v>0</v>
      </c>
      <c r="AB33" s="34">
        <f t="shared" si="8"/>
        <v>0</v>
      </c>
      <c r="AC33" s="34">
        <f t="shared" si="8"/>
        <v>0</v>
      </c>
      <c r="AD33" s="34">
        <f t="shared" si="8"/>
        <v>0</v>
      </c>
      <c r="AE33" s="34">
        <f t="shared" si="8"/>
        <v>0</v>
      </c>
      <c r="AF33" s="34">
        <f t="shared" si="8"/>
        <v>0</v>
      </c>
      <c r="AG33" s="34">
        <f t="shared" si="8"/>
        <v>0</v>
      </c>
      <c r="AH33" s="34">
        <f t="shared" si="8"/>
        <v>0</v>
      </c>
      <c r="AI33" s="34">
        <f t="shared" si="8"/>
        <v>0</v>
      </c>
      <c r="AJ33" s="34">
        <f t="shared" si="8"/>
        <v>530</v>
      </c>
      <c r="AK33" s="121"/>
      <c r="AM33" s="34" t="s">
        <v>60</v>
      </c>
      <c r="AN33" s="34">
        <f>SUM(AN21:AN32)</f>
        <v>0</v>
      </c>
      <c r="AO33" s="34">
        <f t="shared" ref="AO33:BB33" si="9">SUM(AO21:AO32)</f>
        <v>0</v>
      </c>
      <c r="AP33" s="34">
        <f t="shared" si="9"/>
        <v>0</v>
      </c>
      <c r="AQ33" s="34">
        <f t="shared" si="9"/>
        <v>0</v>
      </c>
      <c r="AR33" s="34">
        <f t="shared" si="9"/>
        <v>0</v>
      </c>
      <c r="AS33" s="34">
        <f t="shared" si="9"/>
        <v>0</v>
      </c>
      <c r="AT33" s="34">
        <f t="shared" si="9"/>
        <v>0</v>
      </c>
      <c r="AU33" s="34">
        <f t="shared" si="9"/>
        <v>0</v>
      </c>
      <c r="AV33" s="34">
        <f t="shared" si="9"/>
        <v>0</v>
      </c>
      <c r="AW33" s="34">
        <f t="shared" si="9"/>
        <v>0</v>
      </c>
      <c r="AX33" s="34">
        <f t="shared" si="9"/>
        <v>0</v>
      </c>
      <c r="AY33" s="34">
        <f t="shared" si="9"/>
        <v>0</v>
      </c>
      <c r="AZ33" s="34">
        <f t="shared" si="9"/>
        <v>0</v>
      </c>
      <c r="BA33" s="34">
        <f t="shared" si="9"/>
        <v>0</v>
      </c>
      <c r="BB33" s="34">
        <f t="shared" si="9"/>
        <v>1304</v>
      </c>
      <c r="BC33" s="118"/>
      <c r="BE33" s="34" t="s">
        <v>60</v>
      </c>
      <c r="BF33" s="118">
        <f>C33*Navires!$B$6</f>
        <v>0</v>
      </c>
      <c r="BG33" s="118">
        <f>D33*Navires!$B$6</f>
        <v>0</v>
      </c>
      <c r="BH33" s="118">
        <f>E33*Navires!$B$6</f>
        <v>0</v>
      </c>
      <c r="BI33" s="118">
        <f>F33*Navires!$B$6</f>
        <v>0</v>
      </c>
      <c r="BJ33" s="118">
        <f>G33*Navires!$B$6</f>
        <v>0</v>
      </c>
      <c r="BK33" s="118">
        <f>H33*Navires!$B$6</f>
        <v>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570.4</v>
      </c>
      <c r="BU33" s="118"/>
    </row>
    <row r="49" spans="1:37" ht="15.75" x14ac:dyDescent="0.25">
      <c r="B49" s="181" t="e">
        <f>'CALVI 2014'!B49</f>
        <v>#REF!</v>
      </c>
    </row>
    <row r="50" spans="1:37" s="117" customFormat="1" ht="23.25" customHeight="1" x14ac:dyDescent="0.25">
      <c r="C50" s="215" t="s">
        <v>61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V50" s="215" t="s">
        <v>62</v>
      </c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7"/>
    </row>
    <row r="51" spans="1:37" s="117" customFormat="1" ht="23.25" customHeight="1" x14ac:dyDescent="0.25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8"/>
    </row>
    <row r="52" spans="1:37" s="117" customFormat="1" ht="45" x14ac:dyDescent="0.25">
      <c r="C52" s="24" t="s">
        <v>21</v>
      </c>
      <c r="D52" s="24" t="s">
        <v>22</v>
      </c>
      <c r="E52" s="24" t="s">
        <v>23</v>
      </c>
      <c r="F52" s="24" t="s">
        <v>24</v>
      </c>
      <c r="G52" s="24" t="s">
        <v>25</v>
      </c>
      <c r="H52" s="24" t="s">
        <v>26</v>
      </c>
      <c r="I52" s="25" t="s">
        <v>30</v>
      </c>
      <c r="J52" s="25" t="s">
        <v>33</v>
      </c>
      <c r="K52" s="25" t="s">
        <v>65</v>
      </c>
      <c r="L52" s="25" t="s">
        <v>31</v>
      </c>
      <c r="M52" s="25" t="s">
        <v>32</v>
      </c>
      <c r="N52" s="25" t="s">
        <v>29</v>
      </c>
      <c r="O52" s="25" t="s">
        <v>28</v>
      </c>
      <c r="P52" s="24" t="s">
        <v>27</v>
      </c>
      <c r="Q52" s="31" t="s">
        <v>34</v>
      </c>
      <c r="R52" s="33" t="s">
        <v>60</v>
      </c>
      <c r="S52" s="87"/>
      <c r="V52" s="24" t="s">
        <v>21</v>
      </c>
      <c r="W52" s="24" t="s">
        <v>22</v>
      </c>
      <c r="X52" s="24" t="s">
        <v>23</v>
      </c>
      <c r="Y52" s="24" t="s">
        <v>24</v>
      </c>
      <c r="Z52" s="24" t="s">
        <v>25</v>
      </c>
      <c r="AA52" s="24" t="s">
        <v>26</v>
      </c>
      <c r="AB52" s="25" t="s">
        <v>30</v>
      </c>
      <c r="AC52" s="25" t="s">
        <v>33</v>
      </c>
      <c r="AD52" s="25" t="s">
        <v>26</v>
      </c>
      <c r="AE52" s="25" t="s">
        <v>31</v>
      </c>
      <c r="AF52" s="25" t="s">
        <v>32</v>
      </c>
      <c r="AG52" s="25" t="s">
        <v>29</v>
      </c>
      <c r="AH52" s="25" t="s">
        <v>28</v>
      </c>
      <c r="AI52" s="24" t="s">
        <v>27</v>
      </c>
      <c r="AJ52" s="25" t="s">
        <v>34</v>
      </c>
      <c r="AK52" s="33" t="s">
        <v>60</v>
      </c>
    </row>
    <row r="53" spans="1:37" s="117" customFormat="1" ht="15" customHeight="1" x14ac:dyDescent="0.25">
      <c r="A53" s="117" t="s">
        <v>139</v>
      </c>
      <c r="B53" s="118" t="s">
        <v>146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32"/>
      <c r="R53" s="34">
        <f>SUM(C53:Q53)</f>
        <v>0</v>
      </c>
      <c r="S53" s="135"/>
      <c r="U53" s="118" t="s">
        <v>146</v>
      </c>
      <c r="V53" s="118">
        <f>C53*Navires!$B$2</f>
        <v>0</v>
      </c>
      <c r="W53" s="118">
        <f>D53*Navires!$C$2</f>
        <v>0</v>
      </c>
      <c r="X53" s="118">
        <f>E53*Navires!$D$2</f>
        <v>0</v>
      </c>
      <c r="Y53" s="118">
        <f>F53*Navires!$E$2</f>
        <v>0</v>
      </c>
      <c r="Z53" s="118">
        <f>G53*Navires!$F$2</f>
        <v>0</v>
      </c>
      <c r="AA53" s="118">
        <f>H53*Navires!$G$2</f>
        <v>0</v>
      </c>
      <c r="AB53" s="118">
        <f>I53*Navires!$H$2</f>
        <v>0</v>
      </c>
      <c r="AC53" s="118">
        <f>J53*Navires!$I$2</f>
        <v>0</v>
      </c>
      <c r="AD53" s="118">
        <f>K53*Navires!$J$2</f>
        <v>0</v>
      </c>
      <c r="AE53" s="118">
        <f>L53*Navires!$K$2</f>
        <v>0</v>
      </c>
      <c r="AF53" s="118">
        <f>M53*Navires!$L$2</f>
        <v>0</v>
      </c>
      <c r="AG53" s="118">
        <f>N53*Navires!$M$2</f>
        <v>0</v>
      </c>
      <c r="AH53" s="118">
        <f>O53*Navires!$N$2</f>
        <v>0</v>
      </c>
      <c r="AI53" s="118">
        <f>P53*Navires!$O$2</f>
        <v>0</v>
      </c>
      <c r="AJ53" s="118">
        <f>Q53*Navires!$P$2</f>
        <v>0</v>
      </c>
      <c r="AK53" s="35">
        <f>(SUM(V53:AJ53))*Générale!$B56</f>
        <v>0</v>
      </c>
    </row>
    <row r="54" spans="1:37" s="117" customFormat="1" x14ac:dyDescent="0.25">
      <c r="A54" s="117" t="s">
        <v>140</v>
      </c>
      <c r="B54" s="118" t="s">
        <v>147</v>
      </c>
      <c r="C54" s="118"/>
      <c r="D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32"/>
      <c r="R54" s="34">
        <f t="shared" ref="R54:R59" si="10">SUM(C54:Q54)</f>
        <v>0</v>
      </c>
      <c r="S54" s="135"/>
      <c r="U54" s="118" t="s">
        <v>147</v>
      </c>
      <c r="V54" s="118">
        <f>C54*Navires!$B$2</f>
        <v>0</v>
      </c>
      <c r="W54" s="118">
        <f>D54*Navires!$C$2</f>
        <v>0</v>
      </c>
      <c r="X54" s="118">
        <f>E54*Navires!$D$2</f>
        <v>0</v>
      </c>
      <c r="Y54" s="118">
        <f>F54*Navires!$E$2</f>
        <v>0</v>
      </c>
      <c r="Z54" s="118">
        <f>G54*Navires!$F$2</f>
        <v>0</v>
      </c>
      <c r="AA54" s="118">
        <f>H54*Navires!$G$2</f>
        <v>0</v>
      </c>
      <c r="AB54" s="118">
        <f>I54*Navires!$H$2</f>
        <v>0</v>
      </c>
      <c r="AC54" s="118">
        <f>J54*Navires!$I$2</f>
        <v>0</v>
      </c>
      <c r="AD54" s="118">
        <f>K54*Navires!$J$2</f>
        <v>0</v>
      </c>
      <c r="AE54" s="118">
        <f>L54*Navires!$K$2</f>
        <v>0</v>
      </c>
      <c r="AF54" s="118">
        <f>M54*Navires!$L$2</f>
        <v>0</v>
      </c>
      <c r="AG54" s="118">
        <f>N54*Navires!$M$2</f>
        <v>0</v>
      </c>
      <c r="AH54" s="118">
        <f>O54*Navires!$N$2</f>
        <v>0</v>
      </c>
      <c r="AI54" s="118">
        <f>P54*Navires!$O$2</f>
        <v>0</v>
      </c>
      <c r="AJ54" s="118">
        <f>Q54*Navires!$P$2</f>
        <v>0</v>
      </c>
      <c r="AK54" s="35">
        <f>(SUM(V54:AJ54))*Générale!$B57</f>
        <v>0</v>
      </c>
    </row>
    <row r="55" spans="1:37" s="117" customFormat="1" x14ac:dyDescent="0.25">
      <c r="A55" s="117" t="s">
        <v>141</v>
      </c>
      <c r="B55" s="118" t="s">
        <v>148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32"/>
      <c r="R55" s="34">
        <f t="shared" si="10"/>
        <v>0</v>
      </c>
      <c r="S55" s="135"/>
      <c r="U55" s="118" t="s">
        <v>148</v>
      </c>
      <c r="V55" s="118">
        <f>C55*Navires!$B$2</f>
        <v>0</v>
      </c>
      <c r="W55" s="118">
        <f>D55*Navires!$C$2</f>
        <v>0</v>
      </c>
      <c r="X55" s="118">
        <f>E55*Navires!$D$2</f>
        <v>0</v>
      </c>
      <c r="Y55" s="118">
        <f>F55*Navires!$E$2</f>
        <v>0</v>
      </c>
      <c r="Z55" s="118">
        <f>G55*Navires!$F$2</f>
        <v>0</v>
      </c>
      <c r="AA55" s="118">
        <f>H55*Navires!$G$2</f>
        <v>0</v>
      </c>
      <c r="AB55" s="118">
        <f>I55*Navires!$H$2</f>
        <v>0</v>
      </c>
      <c r="AC55" s="118">
        <f>J55*Navires!$I$2</f>
        <v>0</v>
      </c>
      <c r="AD55" s="118">
        <f>K55*Navires!$J$2</f>
        <v>0</v>
      </c>
      <c r="AE55" s="118">
        <f>L55*Navires!$K$2</f>
        <v>0</v>
      </c>
      <c r="AF55" s="118">
        <f>M55*Navires!$L$2</f>
        <v>0</v>
      </c>
      <c r="AG55" s="118">
        <f>N55*Navires!$M$2</f>
        <v>0</v>
      </c>
      <c r="AH55" s="118">
        <f>O55*Navires!$N$2</f>
        <v>0</v>
      </c>
      <c r="AI55" s="118">
        <f>P55*Navires!$O$2</f>
        <v>0</v>
      </c>
      <c r="AJ55" s="118">
        <f>Q55*Navires!$P$2</f>
        <v>0</v>
      </c>
      <c r="AK55" s="35">
        <f>(SUM(V55:AJ55))*Générale!$B58</f>
        <v>0</v>
      </c>
    </row>
    <row r="56" spans="1:37" s="117" customFormat="1" x14ac:dyDescent="0.25">
      <c r="A56" s="117" t="s">
        <v>142</v>
      </c>
      <c r="B56" s="118" t="s">
        <v>149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32"/>
      <c r="R56" s="34">
        <f t="shared" si="10"/>
        <v>0</v>
      </c>
      <c r="S56" s="135"/>
      <c r="U56" s="118" t="s">
        <v>149</v>
      </c>
      <c r="V56" s="118">
        <f>C56*Navires!$B$2</f>
        <v>0</v>
      </c>
      <c r="W56" s="118">
        <f>D56*Navires!$C$2</f>
        <v>0</v>
      </c>
      <c r="X56" s="118">
        <f>E56*Navires!$D$2</f>
        <v>0</v>
      </c>
      <c r="Y56" s="118">
        <f>F56*Navires!$E$2</f>
        <v>0</v>
      </c>
      <c r="Z56" s="118">
        <f>G56*Navires!$F$2</f>
        <v>0</v>
      </c>
      <c r="AA56" s="118">
        <f>H56*Navires!$G$2</f>
        <v>0</v>
      </c>
      <c r="AB56" s="118">
        <f>I56*Navires!$H$2</f>
        <v>0</v>
      </c>
      <c r="AC56" s="118">
        <f>J56*Navires!$I$2</f>
        <v>0</v>
      </c>
      <c r="AD56" s="118">
        <f>K56*Navires!$J$2</f>
        <v>0</v>
      </c>
      <c r="AE56" s="118">
        <f>L56*Navires!$K$2</f>
        <v>0</v>
      </c>
      <c r="AF56" s="118">
        <f>M56*Navires!$L$2</f>
        <v>0</v>
      </c>
      <c r="AG56" s="118">
        <f>N56*Navires!$M$2</f>
        <v>0</v>
      </c>
      <c r="AH56" s="118">
        <f>O56*Navires!$N$2</f>
        <v>0</v>
      </c>
      <c r="AI56" s="118">
        <f>P56*Navires!$O$2</f>
        <v>0</v>
      </c>
      <c r="AJ56" s="118">
        <f>Q56*Navires!$P$2</f>
        <v>0</v>
      </c>
      <c r="AK56" s="35">
        <f>(SUM(V56:AJ56))*Générale!$B59</f>
        <v>0</v>
      </c>
    </row>
    <row r="57" spans="1:37" s="117" customFormat="1" x14ac:dyDescent="0.25">
      <c r="A57" s="117" t="s">
        <v>143</v>
      </c>
      <c r="B57" s="118" t="s">
        <v>150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2"/>
      <c r="R57" s="34">
        <f t="shared" si="10"/>
        <v>0</v>
      </c>
      <c r="S57" s="135"/>
      <c r="U57" s="118" t="s">
        <v>150</v>
      </c>
      <c r="V57" s="118">
        <f>C57*Navires!$B$2</f>
        <v>0</v>
      </c>
      <c r="W57" s="118">
        <f>D57*Navires!$C$2</f>
        <v>0</v>
      </c>
      <c r="X57" s="118">
        <f>E57*Navires!$D$2</f>
        <v>0</v>
      </c>
      <c r="Y57" s="118">
        <f>F57*Navires!$E$2</f>
        <v>0</v>
      </c>
      <c r="Z57" s="118">
        <f>G57*Navires!$F$2</f>
        <v>0</v>
      </c>
      <c r="AA57" s="118">
        <f>H57*Navires!$G$2</f>
        <v>0</v>
      </c>
      <c r="AB57" s="118">
        <f>I57*Navires!$H$2</f>
        <v>0</v>
      </c>
      <c r="AC57" s="118">
        <f>J57*Navires!$I$2</f>
        <v>0</v>
      </c>
      <c r="AD57" s="118">
        <f>K57*Navires!$J$2</f>
        <v>0</v>
      </c>
      <c r="AE57" s="118">
        <f>L57*Navires!$K$2</f>
        <v>0</v>
      </c>
      <c r="AF57" s="118">
        <f>M57*Navires!$L$2</f>
        <v>0</v>
      </c>
      <c r="AG57" s="118">
        <f>N57*Navires!$M$2</f>
        <v>0</v>
      </c>
      <c r="AH57" s="118">
        <f>O57*Navires!$N$2</f>
        <v>0</v>
      </c>
      <c r="AI57" s="118">
        <f>P57*Navires!$O$2</f>
        <v>0</v>
      </c>
      <c r="AJ57" s="118">
        <f>Q57*Navires!$P$2</f>
        <v>0</v>
      </c>
      <c r="AK57" s="35">
        <f>(SUM(V57:AJ57))*Générale!$B60</f>
        <v>0</v>
      </c>
    </row>
    <row r="58" spans="1:37" s="117" customFormat="1" x14ac:dyDescent="0.25">
      <c r="A58" s="117" t="s">
        <v>144</v>
      </c>
      <c r="B58" s="118" t="s">
        <v>151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32"/>
      <c r="R58" s="34">
        <f t="shared" si="10"/>
        <v>0</v>
      </c>
      <c r="S58" s="135"/>
      <c r="U58" s="118" t="s">
        <v>151</v>
      </c>
      <c r="V58" s="118">
        <f>C58*Navires!$B$2</f>
        <v>0</v>
      </c>
      <c r="W58" s="118">
        <f>D58*Navires!$C$2</f>
        <v>0</v>
      </c>
      <c r="X58" s="118">
        <f>E58*Navires!$D$2</f>
        <v>0</v>
      </c>
      <c r="Y58" s="118">
        <f>F58*Navires!$E$2</f>
        <v>0</v>
      </c>
      <c r="Z58" s="118">
        <f>G58*Navires!$F$2</f>
        <v>0</v>
      </c>
      <c r="AA58" s="118">
        <f>H58*Navires!$G$2</f>
        <v>0</v>
      </c>
      <c r="AB58" s="118">
        <f>I58*Navires!$H$2</f>
        <v>0</v>
      </c>
      <c r="AC58" s="118">
        <f>J58*Navires!$I$2</f>
        <v>0</v>
      </c>
      <c r="AD58" s="118">
        <f>K58*Navires!$J$2</f>
        <v>0</v>
      </c>
      <c r="AE58" s="118">
        <f>L58*Navires!$K$2</f>
        <v>0</v>
      </c>
      <c r="AF58" s="118">
        <f>M58*Navires!$L$2</f>
        <v>0</v>
      </c>
      <c r="AG58" s="118">
        <f>N58*Navires!$M$2</f>
        <v>0</v>
      </c>
      <c r="AH58" s="118">
        <f>O58*Navires!$N$2</f>
        <v>0</v>
      </c>
      <c r="AI58" s="118">
        <f>P58*Navires!$O$2</f>
        <v>0</v>
      </c>
      <c r="AJ58" s="118">
        <f>Q58*Navires!$P$2</f>
        <v>0</v>
      </c>
      <c r="AK58" s="35">
        <f>(SUM(V58:AJ58))*Générale!$B61</f>
        <v>0</v>
      </c>
    </row>
    <row r="59" spans="1:37" s="117" customFormat="1" x14ac:dyDescent="0.25">
      <c r="A59" s="117" t="s">
        <v>145</v>
      </c>
      <c r="B59" s="118" t="s">
        <v>152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32"/>
      <c r="R59" s="34">
        <f t="shared" si="10"/>
        <v>0</v>
      </c>
      <c r="S59" s="135"/>
      <c r="U59" s="118" t="s">
        <v>152</v>
      </c>
      <c r="V59" s="118">
        <f>C59*Navires!$B$2</f>
        <v>0</v>
      </c>
      <c r="W59" s="118">
        <f>D59*Navires!$C$2</f>
        <v>0</v>
      </c>
      <c r="X59" s="118">
        <f>E59*Navires!$D$2</f>
        <v>0</v>
      </c>
      <c r="Y59" s="118">
        <f>F59*Navires!$E$2</f>
        <v>0</v>
      </c>
      <c r="Z59" s="118">
        <f>G59*Navires!$F$2</f>
        <v>0</v>
      </c>
      <c r="AA59" s="118">
        <f>H59*Navires!$G$2</f>
        <v>0</v>
      </c>
      <c r="AB59" s="118">
        <f>I59*Navires!$H$2</f>
        <v>0</v>
      </c>
      <c r="AC59" s="118">
        <f>J59*Navires!$I$2</f>
        <v>0</v>
      </c>
      <c r="AD59" s="118">
        <f>K59*Navires!$J$2</f>
        <v>0</v>
      </c>
      <c r="AE59" s="118">
        <f>L59*Navires!$K$2</f>
        <v>0</v>
      </c>
      <c r="AF59" s="118">
        <f>M59*Navires!$L$2</f>
        <v>0</v>
      </c>
      <c r="AG59" s="118">
        <f>N59*Navires!$M$2</f>
        <v>0</v>
      </c>
      <c r="AH59" s="118">
        <f>O59*Navires!$N$2</f>
        <v>0</v>
      </c>
      <c r="AI59" s="118">
        <f>P59*Navires!$O$2</f>
        <v>0</v>
      </c>
      <c r="AJ59" s="118">
        <f>Q59*Navires!$P$2</f>
        <v>0</v>
      </c>
      <c r="AK59" s="35">
        <f>(SUM(V59:AJ59))*Générale!$B62</f>
        <v>0</v>
      </c>
    </row>
    <row r="60" spans="1:37" s="117" customFormat="1" x14ac:dyDescent="0.25"/>
    <row r="61" spans="1:37" s="117" customFormat="1" ht="15" customHeight="1" x14ac:dyDescent="0.25">
      <c r="C61" s="215" t="s">
        <v>63</v>
      </c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U61" s="217" t="s">
        <v>64</v>
      </c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</row>
    <row r="62" spans="1:37" s="117" customFormat="1" ht="26.25" customHeight="1" x14ac:dyDescent="0.25"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</row>
    <row r="63" spans="1:37" s="117" customFormat="1" ht="45" x14ac:dyDescent="0.25">
      <c r="C63" s="24" t="s">
        <v>21</v>
      </c>
      <c r="D63" s="24" t="s">
        <v>22</v>
      </c>
      <c r="E63" s="24" t="s">
        <v>23</v>
      </c>
      <c r="F63" s="24" t="s">
        <v>24</v>
      </c>
      <c r="G63" s="24" t="s">
        <v>25</v>
      </c>
      <c r="H63" s="24" t="s">
        <v>26</v>
      </c>
      <c r="I63" s="25" t="s">
        <v>30</v>
      </c>
      <c r="J63" s="25" t="s">
        <v>33</v>
      </c>
      <c r="K63" s="25" t="s">
        <v>65</v>
      </c>
      <c r="L63" s="25" t="s">
        <v>31</v>
      </c>
      <c r="M63" s="25" t="s">
        <v>32</v>
      </c>
      <c r="N63" s="25" t="s">
        <v>29</v>
      </c>
      <c r="O63" s="25" t="s">
        <v>28</v>
      </c>
      <c r="P63" s="24" t="s">
        <v>27</v>
      </c>
      <c r="Q63" s="31" t="s">
        <v>34</v>
      </c>
      <c r="R63" s="33" t="s">
        <v>60</v>
      </c>
      <c r="U63" s="118"/>
      <c r="V63" s="23" t="s">
        <v>21</v>
      </c>
      <c r="W63" s="23" t="s">
        <v>22</v>
      </c>
      <c r="X63" s="23" t="s">
        <v>23</v>
      </c>
      <c r="Y63" s="23" t="s">
        <v>24</v>
      </c>
      <c r="Z63" s="23" t="s">
        <v>25</v>
      </c>
      <c r="AA63" s="23" t="s">
        <v>26</v>
      </c>
      <c r="AB63" s="23" t="s">
        <v>30</v>
      </c>
      <c r="AC63" s="23" t="s">
        <v>33</v>
      </c>
      <c r="AD63" s="23" t="s">
        <v>26</v>
      </c>
      <c r="AE63" s="23" t="s">
        <v>31</v>
      </c>
      <c r="AF63" s="23" t="s">
        <v>32</v>
      </c>
      <c r="AG63" s="23" t="s">
        <v>29</v>
      </c>
      <c r="AH63" s="23" t="s">
        <v>28</v>
      </c>
      <c r="AI63" s="23" t="s">
        <v>27</v>
      </c>
      <c r="AJ63" s="23" t="s">
        <v>34</v>
      </c>
      <c r="AK63" s="37" t="s">
        <v>60</v>
      </c>
    </row>
    <row r="64" spans="1:37" s="117" customFormat="1" x14ac:dyDescent="0.25">
      <c r="A64" s="117" t="s">
        <v>139</v>
      </c>
      <c r="B64" s="118" t="s">
        <v>146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32"/>
      <c r="R64" s="34">
        <f>SUM(C64:Q64)</f>
        <v>0</v>
      </c>
      <c r="U64" s="118" t="s">
        <v>146</v>
      </c>
      <c r="V64" s="118">
        <f>C64*Navires!$B$2</f>
        <v>0</v>
      </c>
      <c r="W64" s="118">
        <f>D64*Navires!$C$2</f>
        <v>0</v>
      </c>
      <c r="X64" s="118">
        <f>E64*Navires!$D$2</f>
        <v>0</v>
      </c>
      <c r="Y64" s="118">
        <f>F64*Navires!$E$2</f>
        <v>0</v>
      </c>
      <c r="Z64" s="118">
        <f>G64*Navires!$F$2</f>
        <v>0</v>
      </c>
      <c r="AA64" s="118">
        <f>H64*Navires!$G$2</f>
        <v>0</v>
      </c>
      <c r="AB64" s="118">
        <f>I64*Navires!$H$2</f>
        <v>0</v>
      </c>
      <c r="AC64" s="118">
        <f>J64*Navires!$I$2</f>
        <v>0</v>
      </c>
      <c r="AD64" s="118">
        <f>K64*Navires!$J$2</f>
        <v>0</v>
      </c>
      <c r="AE64" s="118">
        <f>L64*Navires!$K$2</f>
        <v>0</v>
      </c>
      <c r="AF64" s="118">
        <f>M64*Navires!$L$2</f>
        <v>0</v>
      </c>
      <c r="AG64" s="118">
        <f>N64*Navires!$M$2</f>
        <v>0</v>
      </c>
      <c r="AH64" s="118">
        <f>O64*Navires!$N$2</f>
        <v>0</v>
      </c>
      <c r="AI64" s="118">
        <f>P64*Navires!$O$2</f>
        <v>0</v>
      </c>
      <c r="AJ64" s="118">
        <f>Q64*Navires!$P$2</f>
        <v>0</v>
      </c>
      <c r="AK64" s="35">
        <f>(SUM(V64:AJ64))*Générale!$B50</f>
        <v>0</v>
      </c>
    </row>
    <row r="65" spans="1:37" s="117" customFormat="1" x14ac:dyDescent="0.25">
      <c r="A65" s="117" t="s">
        <v>140</v>
      </c>
      <c r="B65" s="118" t="s">
        <v>147</v>
      </c>
      <c r="C65" s="118"/>
      <c r="D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32"/>
      <c r="R65" s="34">
        <f t="shared" ref="R65:R70" si="11">SUM(C65:Q65)</f>
        <v>0</v>
      </c>
      <c r="U65" s="118" t="s">
        <v>147</v>
      </c>
      <c r="V65" s="118">
        <f>C65*Navires!$B$2</f>
        <v>0</v>
      </c>
      <c r="W65" s="118">
        <f>D65*Navires!$C$2</f>
        <v>0</v>
      </c>
      <c r="X65" s="118">
        <f>E65*Navires!$D$2</f>
        <v>0</v>
      </c>
      <c r="Y65" s="118">
        <f>F65*Navires!$E$2</f>
        <v>0</v>
      </c>
      <c r="Z65" s="118">
        <f>G65*Navires!$F$2</f>
        <v>0</v>
      </c>
      <c r="AA65" s="118">
        <f>H65*Navires!$G$2</f>
        <v>0</v>
      </c>
      <c r="AB65" s="118">
        <f>I65*Navires!$H$2</f>
        <v>0</v>
      </c>
      <c r="AC65" s="118">
        <f>J65*Navires!$I$2</f>
        <v>0</v>
      </c>
      <c r="AD65" s="118">
        <f>K65*Navires!$J$2</f>
        <v>0</v>
      </c>
      <c r="AE65" s="118">
        <f>L65*Navires!$K$2</f>
        <v>0</v>
      </c>
      <c r="AF65" s="118">
        <f>M65*Navires!$L$2</f>
        <v>0</v>
      </c>
      <c r="AG65" s="118">
        <f>N65*Navires!$M$2</f>
        <v>0</v>
      </c>
      <c r="AH65" s="118">
        <f>O65*Navires!$N$2</f>
        <v>0</v>
      </c>
      <c r="AI65" s="118">
        <f>P65*Navires!$O$2</f>
        <v>0</v>
      </c>
      <c r="AJ65" s="118">
        <f>Q65*Navires!$P$2</f>
        <v>0</v>
      </c>
      <c r="AK65" s="35">
        <f>(SUM(V65:AJ65))*Générale!$B51</f>
        <v>0</v>
      </c>
    </row>
    <row r="66" spans="1:37" s="117" customFormat="1" x14ac:dyDescent="0.25">
      <c r="A66" s="117" t="s">
        <v>141</v>
      </c>
      <c r="B66" s="118" t="s">
        <v>148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32"/>
      <c r="R66" s="34">
        <f t="shared" si="11"/>
        <v>0</v>
      </c>
      <c r="U66" s="118" t="s">
        <v>148</v>
      </c>
      <c r="V66" s="118">
        <f>C66*Navires!$B$2</f>
        <v>0</v>
      </c>
      <c r="W66" s="118">
        <f>D66*Navires!$C$2</f>
        <v>0</v>
      </c>
      <c r="X66" s="118">
        <f>E66*Navires!$D$2</f>
        <v>0</v>
      </c>
      <c r="Y66" s="118">
        <f>F66*Navires!$E$2</f>
        <v>0</v>
      </c>
      <c r="Z66" s="118">
        <f>G66*Navires!$F$2</f>
        <v>0</v>
      </c>
      <c r="AA66" s="118">
        <f>H66*Navires!$G$2</f>
        <v>0</v>
      </c>
      <c r="AB66" s="118">
        <f>I66*Navires!$H$2</f>
        <v>0</v>
      </c>
      <c r="AC66" s="118">
        <f>J66*Navires!$I$2</f>
        <v>0</v>
      </c>
      <c r="AD66" s="118">
        <f>K66*Navires!$J$2</f>
        <v>0</v>
      </c>
      <c r="AE66" s="118">
        <f>L66*Navires!$K$2</f>
        <v>0</v>
      </c>
      <c r="AF66" s="118">
        <f>M66*Navires!$L$2</f>
        <v>0</v>
      </c>
      <c r="AG66" s="118">
        <f>N66*Navires!$M$2</f>
        <v>0</v>
      </c>
      <c r="AH66" s="118">
        <f>O66*Navires!$N$2</f>
        <v>0</v>
      </c>
      <c r="AI66" s="118">
        <f>P66*Navires!$O$2</f>
        <v>0</v>
      </c>
      <c r="AJ66" s="118">
        <f>Q66*Navires!$P$2</f>
        <v>0</v>
      </c>
      <c r="AK66" s="35">
        <f>(SUM(V66:AJ66))*Générale!$B52</f>
        <v>0</v>
      </c>
    </row>
    <row r="67" spans="1:37" s="117" customFormat="1" x14ac:dyDescent="0.25">
      <c r="A67" s="117" t="s">
        <v>142</v>
      </c>
      <c r="B67" s="118" t="s">
        <v>149</v>
      </c>
      <c r="C67" s="118"/>
      <c r="D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32"/>
      <c r="R67" s="34">
        <f t="shared" si="11"/>
        <v>0</v>
      </c>
      <c r="U67" s="118" t="s">
        <v>149</v>
      </c>
      <c r="V67" s="118">
        <f>C67*Navires!$B$2</f>
        <v>0</v>
      </c>
      <c r="W67" s="118">
        <f>D67*Navires!$C$2</f>
        <v>0</v>
      </c>
      <c r="X67" s="118">
        <f>E67*Navires!$D$2</f>
        <v>0</v>
      </c>
      <c r="Y67" s="118">
        <f>F67*Navires!$E$2</f>
        <v>0</v>
      </c>
      <c r="Z67" s="118">
        <f>G67*Navires!$F$2</f>
        <v>0</v>
      </c>
      <c r="AA67" s="118">
        <f>H67*Navires!$G$2</f>
        <v>0</v>
      </c>
      <c r="AB67" s="118">
        <f>I67*Navires!$H$2</f>
        <v>0</v>
      </c>
      <c r="AC67" s="118">
        <f>J67*Navires!$I$2</f>
        <v>0</v>
      </c>
      <c r="AD67" s="118">
        <f>K67*Navires!$J$2</f>
        <v>0</v>
      </c>
      <c r="AE67" s="118">
        <f>L67*Navires!$K$2</f>
        <v>0</v>
      </c>
      <c r="AF67" s="118">
        <f>M67*Navires!$L$2</f>
        <v>0</v>
      </c>
      <c r="AG67" s="118">
        <f>N67*Navires!$M$2</f>
        <v>0</v>
      </c>
      <c r="AH67" s="118">
        <f>O67*Navires!$N$2</f>
        <v>0</v>
      </c>
      <c r="AI67" s="118">
        <f>P67*Navires!$O$2</f>
        <v>0</v>
      </c>
      <c r="AJ67" s="118">
        <f>Q67*Navires!$P$2</f>
        <v>0</v>
      </c>
      <c r="AK67" s="35">
        <f>(SUM(V67:AJ67))*Générale!$B53</f>
        <v>0</v>
      </c>
    </row>
    <row r="68" spans="1:37" s="117" customFormat="1" x14ac:dyDescent="0.25">
      <c r="A68" s="117" t="s">
        <v>143</v>
      </c>
      <c r="B68" s="118" t="s">
        <v>150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32"/>
      <c r="R68" s="34">
        <f t="shared" si="11"/>
        <v>0</v>
      </c>
      <c r="U68" s="118" t="s">
        <v>150</v>
      </c>
      <c r="V68" s="118">
        <f>C68*Navires!$B$2</f>
        <v>0</v>
      </c>
      <c r="W68" s="118">
        <f>D68*Navires!$C$2</f>
        <v>0</v>
      </c>
      <c r="X68" s="118">
        <f>E68*Navires!$D$2</f>
        <v>0</v>
      </c>
      <c r="Y68" s="118">
        <f>F68*Navires!$E$2</f>
        <v>0</v>
      </c>
      <c r="Z68" s="118">
        <f>G68*Navires!$F$2</f>
        <v>0</v>
      </c>
      <c r="AA68" s="118">
        <f>H68*Navires!$G$2</f>
        <v>0</v>
      </c>
      <c r="AB68" s="118">
        <f>I68*Navires!$H$2</f>
        <v>0</v>
      </c>
      <c r="AC68" s="118">
        <f>J68*Navires!$I$2</f>
        <v>0</v>
      </c>
      <c r="AD68" s="118">
        <f>K68*Navires!$J$2</f>
        <v>0</v>
      </c>
      <c r="AE68" s="118">
        <f>L68*Navires!$K$2</f>
        <v>0</v>
      </c>
      <c r="AF68" s="118">
        <f>M68*Navires!$L$2</f>
        <v>0</v>
      </c>
      <c r="AG68" s="118">
        <f>N68*Navires!$M$2</f>
        <v>0</v>
      </c>
      <c r="AH68" s="118">
        <f>O68*Navires!$N$2</f>
        <v>0</v>
      </c>
      <c r="AI68" s="118">
        <f>P68*Navires!$O$2</f>
        <v>0</v>
      </c>
      <c r="AJ68" s="118">
        <f>Q68*Navires!$P$2</f>
        <v>0</v>
      </c>
      <c r="AK68" s="35">
        <f>(SUM(V68:AJ68))*Générale!$B54</f>
        <v>0</v>
      </c>
    </row>
    <row r="69" spans="1:37" s="117" customFormat="1" x14ac:dyDescent="0.25">
      <c r="A69" s="117" t="s">
        <v>144</v>
      </c>
      <c r="B69" s="118" t="s">
        <v>151</v>
      </c>
      <c r="C69" s="118"/>
      <c r="D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32"/>
      <c r="R69" s="34">
        <f t="shared" si="11"/>
        <v>0</v>
      </c>
      <c r="U69" s="118" t="s">
        <v>151</v>
      </c>
      <c r="V69" s="118">
        <f>C69*Navires!$B$2</f>
        <v>0</v>
      </c>
      <c r="W69" s="118">
        <f>D69*Navires!$C$2</f>
        <v>0</v>
      </c>
      <c r="X69" s="118">
        <f>E69*Navires!$D$2</f>
        <v>0</v>
      </c>
      <c r="Y69" s="118">
        <f>F69*Navires!$E$2</f>
        <v>0</v>
      </c>
      <c r="Z69" s="118">
        <f>G69*Navires!$F$2</f>
        <v>0</v>
      </c>
      <c r="AA69" s="118">
        <f>H69*Navires!$G$2</f>
        <v>0</v>
      </c>
      <c r="AB69" s="118">
        <f>I69*Navires!$H$2</f>
        <v>0</v>
      </c>
      <c r="AC69" s="118">
        <f>J69*Navires!$I$2</f>
        <v>0</v>
      </c>
      <c r="AD69" s="118">
        <f>K69*Navires!$J$2</f>
        <v>0</v>
      </c>
      <c r="AE69" s="118">
        <f>L69*Navires!$K$2</f>
        <v>0</v>
      </c>
      <c r="AF69" s="118">
        <f>M69*Navires!$L$2</f>
        <v>0</v>
      </c>
      <c r="AG69" s="118">
        <f>N69*Navires!$M$2</f>
        <v>0</v>
      </c>
      <c r="AH69" s="118">
        <f>O69*Navires!$N$2</f>
        <v>0</v>
      </c>
      <c r="AI69" s="118">
        <f>P69*Navires!$O$2</f>
        <v>0</v>
      </c>
      <c r="AJ69" s="118">
        <f>Q69*Navires!$P$2</f>
        <v>0</v>
      </c>
      <c r="AK69" s="35">
        <f>(SUM(V69:AJ69))*Générale!$B55</f>
        <v>0</v>
      </c>
    </row>
    <row r="70" spans="1:37" s="117" customFormat="1" x14ac:dyDescent="0.25">
      <c r="A70" s="117" t="s">
        <v>145</v>
      </c>
      <c r="B70" s="118" t="s">
        <v>152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32"/>
      <c r="R70" s="34">
        <f t="shared" si="11"/>
        <v>0</v>
      </c>
      <c r="U70" s="118" t="s">
        <v>152</v>
      </c>
      <c r="V70" s="118">
        <f>C70*Navires!$B$2</f>
        <v>0</v>
      </c>
      <c r="W70" s="118">
        <f>D70*Navires!$C$2</f>
        <v>0</v>
      </c>
      <c r="X70" s="118">
        <f>E70*Navires!$D$2</f>
        <v>0</v>
      </c>
      <c r="Y70" s="118">
        <f>F70*Navires!$E$2</f>
        <v>0</v>
      </c>
      <c r="Z70" s="118">
        <f>G70*Navires!$F$2</f>
        <v>0</v>
      </c>
      <c r="AA70" s="118">
        <f>H70*Navires!$G$2</f>
        <v>0</v>
      </c>
      <c r="AB70" s="118">
        <f>I70*Navires!$H$2</f>
        <v>0</v>
      </c>
      <c r="AC70" s="118">
        <f>J70*Navires!$I$2</f>
        <v>0</v>
      </c>
      <c r="AD70" s="118">
        <f>K70*Navires!$J$2</f>
        <v>0</v>
      </c>
      <c r="AE70" s="118">
        <f>L70*Navires!$K$2</f>
        <v>0</v>
      </c>
      <c r="AF70" s="118">
        <f>M70*Navires!$L$2</f>
        <v>0</v>
      </c>
      <c r="AG70" s="118">
        <f>N70*Navires!$M$2</f>
        <v>0</v>
      </c>
      <c r="AH70" s="118">
        <f>O70*Navires!$N$2</f>
        <v>0</v>
      </c>
      <c r="AI70" s="118">
        <f>P70*Navires!$O$2</f>
        <v>0</v>
      </c>
      <c r="AJ70" s="118">
        <f>Q70*Navires!$P$2</f>
        <v>0</v>
      </c>
      <c r="AK70" s="35">
        <f>(SUM(V70:AJ70))*Générale!$B56</f>
        <v>0</v>
      </c>
    </row>
  </sheetData>
  <mergeCells count="12">
    <mergeCell ref="BF1:BT2"/>
    <mergeCell ref="BE18:BU19"/>
    <mergeCell ref="C50:Q51"/>
    <mergeCell ref="V50:AJ51"/>
    <mergeCell ref="C61:Q62"/>
    <mergeCell ref="U61:AK62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F19" workbookViewId="0">
      <selection activeCell="BU20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1</v>
      </c>
      <c r="D4" s="2">
        <v>0</v>
      </c>
      <c r="E4" s="2">
        <v>16</v>
      </c>
      <c r="F4" s="2">
        <v>0</v>
      </c>
      <c r="G4" s="2">
        <v>6</v>
      </c>
      <c r="H4" s="2">
        <v>10</v>
      </c>
      <c r="I4" s="2"/>
      <c r="J4" s="2"/>
      <c r="K4" s="2"/>
      <c r="L4" s="2"/>
      <c r="M4" s="2"/>
      <c r="N4" s="2"/>
      <c r="O4" s="2"/>
      <c r="P4" s="2"/>
      <c r="Q4" s="32"/>
      <c r="R4" s="34">
        <f>SUM(C4:Q4)</f>
        <v>33</v>
      </c>
      <c r="S4" s="82">
        <f>R4/R36</f>
        <v>7.4492099322799099</v>
      </c>
      <c r="U4" s="2" t="s">
        <v>36</v>
      </c>
      <c r="V4" s="2">
        <f>C4*Navires!$B$2</f>
        <v>1955</v>
      </c>
      <c r="W4" s="2">
        <f>D4*Navires!$C$2</f>
        <v>0</v>
      </c>
      <c r="X4" s="2">
        <f>E4*Navires!$D$2</f>
        <v>33696</v>
      </c>
      <c r="Y4" s="2">
        <f>F4*Navires!$E$2</f>
        <v>0</v>
      </c>
      <c r="Z4" s="2">
        <f>G4*Navires!$F$2</f>
        <v>11376</v>
      </c>
      <c r="AA4" s="2">
        <f>H4*Navires!$G$2</f>
        <v>20000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67027</v>
      </c>
      <c r="AM4" s="118" t="s">
        <v>36</v>
      </c>
      <c r="AN4" s="118">
        <f>C4*Navires!$B$6</f>
        <v>570.4</v>
      </c>
      <c r="AO4" s="118">
        <f>D4*Navires!$C$6</f>
        <v>0</v>
      </c>
      <c r="AP4" s="118">
        <f>E4*Navires!$D$6</f>
        <v>12800</v>
      </c>
      <c r="AQ4" s="118">
        <f>F4*Navires!$E$6</f>
        <v>0</v>
      </c>
      <c r="AR4" s="118">
        <f>G4*Navires!$F$6</f>
        <v>4084.8</v>
      </c>
      <c r="AS4" s="118">
        <f>H4*Navires!$G$6</f>
        <v>6800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12127.6</v>
      </c>
      <c r="BE4" s="118" t="s">
        <v>36</v>
      </c>
      <c r="BF4" s="118">
        <f>C4*Navires!$B$6</f>
        <v>570.4</v>
      </c>
      <c r="BG4" s="118">
        <f>D4*Navires!$B$6</f>
        <v>0</v>
      </c>
      <c r="BH4" s="118">
        <f>E4*Navires!$B$6</f>
        <v>9126.4</v>
      </c>
      <c r="BI4" s="118">
        <f>F4*Navires!$B$6</f>
        <v>0</v>
      </c>
      <c r="BJ4" s="118">
        <f>G4*Navires!$B$6</f>
        <v>3422.3999999999996</v>
      </c>
      <c r="BK4" s="118">
        <f>H4*Navires!$B$6</f>
        <v>5704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13176.239999999998</v>
      </c>
    </row>
    <row r="5" spans="1:73" x14ac:dyDescent="0.25">
      <c r="A5" t="s">
        <v>49</v>
      </c>
      <c r="B5" s="2" t="s">
        <v>37</v>
      </c>
      <c r="C5" s="2">
        <v>2</v>
      </c>
      <c r="D5" s="2">
        <v>9</v>
      </c>
      <c r="E5">
        <v>0</v>
      </c>
      <c r="F5" s="2">
        <v>5</v>
      </c>
      <c r="G5" s="2">
        <v>0</v>
      </c>
      <c r="H5" s="2">
        <v>12</v>
      </c>
      <c r="I5" s="2"/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28</v>
      </c>
      <c r="S5" s="82">
        <f t="shared" ref="S5:S16" si="1">R5/R37</f>
        <v>7</v>
      </c>
      <c r="U5" s="2" t="s">
        <v>37</v>
      </c>
      <c r="V5" s="2">
        <f>C5*Navires!$B$2</f>
        <v>3910</v>
      </c>
      <c r="W5" s="2">
        <f>D5*Navires!$C$2</f>
        <v>17595</v>
      </c>
      <c r="X5" s="2">
        <f>E5*Navires!$D$2</f>
        <v>0</v>
      </c>
      <c r="Y5" s="2">
        <f>F5*Navires!$E$2</f>
        <v>9400</v>
      </c>
      <c r="Z5" s="2">
        <f>G5*Navires!$F$2</f>
        <v>0</v>
      </c>
      <c r="AA5" s="2">
        <f>H5*Navires!$G$2</f>
        <v>24000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54905</v>
      </c>
      <c r="AM5" s="118" t="s">
        <v>37</v>
      </c>
      <c r="AN5" s="118">
        <f>C5*Navires!$B$6</f>
        <v>1140.8</v>
      </c>
      <c r="AO5" s="118">
        <f>D5*Navires!$C$6</f>
        <v>5133.5999999999995</v>
      </c>
      <c r="AP5" s="118">
        <f>E5*Navires!$D$6</f>
        <v>0</v>
      </c>
      <c r="AQ5" s="118">
        <f>F5*Navires!$E$6</f>
        <v>6140</v>
      </c>
      <c r="AR5" s="118">
        <f>G5*Navires!$F$6</f>
        <v>0</v>
      </c>
      <c r="AS5" s="118">
        <f>H5*Navires!$G$6</f>
        <v>8160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10287.200000000001</v>
      </c>
      <c r="BE5" s="118" t="s">
        <v>37</v>
      </c>
      <c r="BF5" s="118">
        <f>C5*Navires!$B$6</f>
        <v>1140.8</v>
      </c>
      <c r="BG5" s="118">
        <f>D5*Navires!$B$6</f>
        <v>5133.5999999999995</v>
      </c>
      <c r="BH5" s="118">
        <f>E5*Navires!$B$6</f>
        <v>0</v>
      </c>
      <c r="BI5" s="118">
        <f>F5*Navires!$B$6</f>
        <v>2852</v>
      </c>
      <c r="BJ5" s="118">
        <f>G5*Navires!$B$6</f>
        <v>0</v>
      </c>
      <c r="BK5" s="118">
        <f>H5*Navires!$B$6</f>
        <v>6844.7999999999993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11179.839999999998</v>
      </c>
    </row>
    <row r="6" spans="1:73" x14ac:dyDescent="0.25">
      <c r="A6" t="s">
        <v>50</v>
      </c>
      <c r="B6" s="2" t="s">
        <v>38</v>
      </c>
      <c r="C6" s="2">
        <v>4</v>
      </c>
      <c r="D6" s="2">
        <v>11</v>
      </c>
      <c r="E6" s="2">
        <v>11</v>
      </c>
      <c r="F6" s="2">
        <v>3</v>
      </c>
      <c r="G6" s="2">
        <v>0</v>
      </c>
      <c r="H6" s="2">
        <v>2</v>
      </c>
      <c r="I6" s="2"/>
      <c r="J6" s="2"/>
      <c r="K6" s="2"/>
      <c r="L6" s="2"/>
      <c r="M6" s="2"/>
      <c r="N6" s="2"/>
      <c r="O6" s="2"/>
      <c r="P6" s="2"/>
      <c r="Q6" s="32"/>
      <c r="R6" s="34">
        <f t="shared" si="0"/>
        <v>31</v>
      </c>
      <c r="S6" s="82">
        <f t="shared" si="1"/>
        <v>6.9977426636568856</v>
      </c>
      <c r="U6" s="2" t="s">
        <v>38</v>
      </c>
      <c r="V6" s="2">
        <f>C6*Navires!$B$2</f>
        <v>7820</v>
      </c>
      <c r="W6" s="2">
        <f>D6*Navires!$C$2</f>
        <v>21505</v>
      </c>
      <c r="X6" s="2">
        <f>E6*Navires!$D$2</f>
        <v>23166</v>
      </c>
      <c r="Y6" s="2">
        <f>F6*Navires!$E$2</f>
        <v>5640</v>
      </c>
      <c r="Z6" s="2">
        <f>G6*Navires!$F$2</f>
        <v>0</v>
      </c>
      <c r="AA6" s="2">
        <f>H6*Navires!$G$2</f>
        <v>4000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62131</v>
      </c>
      <c r="AM6" s="118" t="s">
        <v>38</v>
      </c>
      <c r="AN6" s="118">
        <f>C6*Navires!$B$6</f>
        <v>2281.6</v>
      </c>
      <c r="AO6" s="118">
        <f>D6*Navires!$C$6</f>
        <v>6274.4</v>
      </c>
      <c r="AP6" s="118">
        <f>E6*Navires!$D$6</f>
        <v>8800</v>
      </c>
      <c r="AQ6" s="118">
        <f>F6*Navires!$E$6</f>
        <v>3684</v>
      </c>
      <c r="AR6" s="118">
        <f>G6*Navires!$F$6</f>
        <v>0</v>
      </c>
      <c r="AS6" s="118">
        <f>H6*Navires!$G$6</f>
        <v>1360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11200</v>
      </c>
      <c r="BE6" s="118" t="s">
        <v>38</v>
      </c>
      <c r="BF6" s="118">
        <f>C6*Navires!$B$6</f>
        <v>2281.6</v>
      </c>
      <c r="BG6" s="118">
        <f>D6*Navires!$B$6</f>
        <v>6274.4</v>
      </c>
      <c r="BH6" s="118">
        <f>E6*Navires!$B$6</f>
        <v>6274.4</v>
      </c>
      <c r="BI6" s="118">
        <f>F6*Navires!$B$6</f>
        <v>1711.1999999999998</v>
      </c>
      <c r="BJ6" s="118">
        <f>G6*Navires!$B$6</f>
        <v>0</v>
      </c>
      <c r="BK6" s="118">
        <f>H6*Navires!$B$6</f>
        <v>1140.8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12377.679999999998</v>
      </c>
    </row>
    <row r="7" spans="1:73" x14ac:dyDescent="0.25">
      <c r="A7" t="s">
        <v>51</v>
      </c>
      <c r="B7" s="2" t="s">
        <v>39</v>
      </c>
      <c r="C7" s="2">
        <v>0</v>
      </c>
      <c r="D7" s="2">
        <v>5</v>
      </c>
      <c r="E7" s="2">
        <v>18</v>
      </c>
      <c r="F7" s="2">
        <v>11</v>
      </c>
      <c r="G7" s="2">
        <v>7</v>
      </c>
      <c r="H7" s="2">
        <v>0</v>
      </c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41</v>
      </c>
      <c r="S7" s="82">
        <f t="shared" si="1"/>
        <v>9.5794392523364476</v>
      </c>
      <c r="U7" s="2" t="s">
        <v>39</v>
      </c>
      <c r="V7" s="2">
        <f>C7*Navires!$B$2</f>
        <v>0</v>
      </c>
      <c r="W7" s="2">
        <f>D7*Navires!$C$2</f>
        <v>9775</v>
      </c>
      <c r="X7" s="2">
        <f>E7*Navires!$D$2</f>
        <v>37908</v>
      </c>
      <c r="Y7" s="2">
        <f>F7*Navires!$E$2</f>
        <v>20680</v>
      </c>
      <c r="Z7" s="2">
        <f>G7*Navires!$F$2</f>
        <v>13272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81635</v>
      </c>
      <c r="AM7" s="118" t="s">
        <v>39</v>
      </c>
      <c r="AN7" s="118">
        <f>C7*Navires!$B$6</f>
        <v>0</v>
      </c>
      <c r="AO7" s="118">
        <f>D7*Navires!$C$6</f>
        <v>2852</v>
      </c>
      <c r="AP7" s="118">
        <f>E7*Navires!$D$6</f>
        <v>14400</v>
      </c>
      <c r="AQ7" s="118">
        <f>F7*Navires!$E$6</f>
        <v>13508</v>
      </c>
      <c r="AR7" s="118">
        <f>G7*Navires!$F$6</f>
        <v>4765.6000000000004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17762.8</v>
      </c>
      <c r="BE7" s="118" t="s">
        <v>39</v>
      </c>
      <c r="BF7" s="118">
        <f>C7*Navires!$B$6</f>
        <v>0</v>
      </c>
      <c r="BG7" s="118">
        <f>D7*Navires!$B$6</f>
        <v>2852</v>
      </c>
      <c r="BH7" s="118">
        <f>E7*Navires!$B$6</f>
        <v>10267.199999999999</v>
      </c>
      <c r="BI7" s="118">
        <f>F7*Navires!$B$6</f>
        <v>6274.4</v>
      </c>
      <c r="BJ7" s="118">
        <f>G7*Navires!$B$6</f>
        <v>3992.7999999999997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39756.879999999997</v>
      </c>
    </row>
    <row r="8" spans="1:73" x14ac:dyDescent="0.25">
      <c r="A8" t="s">
        <v>52</v>
      </c>
      <c r="B8" s="2" t="s">
        <v>40</v>
      </c>
      <c r="C8" s="2">
        <v>0</v>
      </c>
      <c r="D8" s="2">
        <v>4</v>
      </c>
      <c r="E8" s="2">
        <v>20</v>
      </c>
      <c r="F8" s="2">
        <v>10</v>
      </c>
      <c r="G8" s="2">
        <v>10</v>
      </c>
      <c r="H8" s="2">
        <v>7</v>
      </c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51</v>
      </c>
      <c r="S8" s="82">
        <f t="shared" si="1"/>
        <v>11.512415349887133</v>
      </c>
      <c r="U8" s="2" t="s">
        <v>40</v>
      </c>
      <c r="V8" s="2">
        <f>C8*Navires!$B$2</f>
        <v>0</v>
      </c>
      <c r="W8" s="2">
        <f>D8*Navires!$C$2</f>
        <v>7820</v>
      </c>
      <c r="X8" s="2">
        <f>E8*Navires!$D$2</f>
        <v>42120</v>
      </c>
      <c r="Y8" s="2">
        <f>F8*Navires!$E$2</f>
        <v>18800</v>
      </c>
      <c r="Z8" s="2">
        <f>G8*Navires!$F$2</f>
        <v>18960</v>
      </c>
      <c r="AA8" s="2">
        <f>H8*Navires!$G$2</f>
        <v>14000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101700</v>
      </c>
      <c r="AM8" s="118" t="s">
        <v>40</v>
      </c>
      <c r="AN8" s="118">
        <f>C8*Navires!$B$6</f>
        <v>0</v>
      </c>
      <c r="AO8" s="118">
        <f>D8*Navires!$C$6</f>
        <v>2281.6</v>
      </c>
      <c r="AP8" s="118">
        <f>E8*Navires!$D$6</f>
        <v>16000</v>
      </c>
      <c r="AQ8" s="118">
        <f>F8*Navires!$E$6</f>
        <v>12280</v>
      </c>
      <c r="AR8" s="118">
        <f>G8*Navires!$F$6</f>
        <v>6808.0000000000009</v>
      </c>
      <c r="AS8" s="118">
        <f>H8*Navires!$G$6</f>
        <v>4760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12638.88</v>
      </c>
      <c r="BE8" s="118" t="s">
        <v>40</v>
      </c>
      <c r="BF8" s="118">
        <f>C8*Navires!$B$6</f>
        <v>0</v>
      </c>
      <c r="BG8" s="118">
        <f>D8*Navires!$B$6</f>
        <v>2281.6</v>
      </c>
      <c r="BH8" s="118">
        <f>E8*Navires!$B$6</f>
        <v>11408</v>
      </c>
      <c r="BI8" s="118">
        <f>F8*Navires!$B$6</f>
        <v>5704</v>
      </c>
      <c r="BJ8" s="118">
        <f>G8*Navires!$B$6</f>
        <v>5704</v>
      </c>
      <c r="BK8" s="118">
        <f>H8*Navires!$B$6</f>
        <v>3992.7999999999997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49453.679999999993</v>
      </c>
    </row>
    <row r="9" spans="1:73" x14ac:dyDescent="0.25">
      <c r="A9" t="s">
        <v>53</v>
      </c>
      <c r="B9" s="2" t="s">
        <v>41</v>
      </c>
      <c r="C9" s="2">
        <v>24</v>
      </c>
      <c r="D9" s="2">
        <v>0</v>
      </c>
      <c r="E9" s="2">
        <v>1</v>
      </c>
      <c r="F9" s="2">
        <v>12</v>
      </c>
      <c r="G9" s="2">
        <v>13</v>
      </c>
      <c r="H9" s="2">
        <v>9</v>
      </c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59</v>
      </c>
      <c r="S9" s="82">
        <f t="shared" si="1"/>
        <v>13.785046728971961</v>
      </c>
      <c r="U9" s="2" t="s">
        <v>41</v>
      </c>
      <c r="V9" s="2">
        <f>C9*Navires!$B$2</f>
        <v>46920</v>
      </c>
      <c r="W9" s="2">
        <f>D9*Navires!$C$2</f>
        <v>0</v>
      </c>
      <c r="X9" s="2">
        <f>E9*Navires!$D$2</f>
        <v>2106</v>
      </c>
      <c r="Y9" s="2">
        <f>F9*Navires!$E$2</f>
        <v>22560</v>
      </c>
      <c r="Z9" s="2">
        <f>G9*Navires!$F$2</f>
        <v>24648</v>
      </c>
      <c r="AA9" s="2">
        <f>H9*Navires!$G$2</f>
        <v>18000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114234</v>
      </c>
      <c r="AM9" s="118" t="s">
        <v>41</v>
      </c>
      <c r="AN9" s="118">
        <f>C9*Navires!$B$6</f>
        <v>13689.599999999999</v>
      </c>
      <c r="AO9" s="118">
        <f>D9*Navires!$C$6</f>
        <v>0</v>
      </c>
      <c r="AP9" s="118">
        <f>E9*Navires!$D$6</f>
        <v>800</v>
      </c>
      <c r="AQ9" s="118">
        <f>F9*Navires!$E$6</f>
        <v>14736</v>
      </c>
      <c r="AR9" s="118">
        <f>G9*Navires!$F$6</f>
        <v>8850.4000000000015</v>
      </c>
      <c r="AS9" s="118">
        <f>H9*Navires!$G$6</f>
        <v>6120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13258.8</v>
      </c>
      <c r="BE9" s="118" t="s">
        <v>41</v>
      </c>
      <c r="BF9" s="118">
        <f>C9*Navires!$B$6</f>
        <v>13689.599999999999</v>
      </c>
      <c r="BG9" s="118">
        <f>D9*Navires!$B$6</f>
        <v>0</v>
      </c>
      <c r="BH9" s="118">
        <f>E9*Navires!$B$6</f>
        <v>570.4</v>
      </c>
      <c r="BI9" s="118">
        <f>F9*Navires!$B$6</f>
        <v>6844.7999999999993</v>
      </c>
      <c r="BJ9" s="118">
        <f>G9*Navires!$B$6</f>
        <v>7415.2</v>
      </c>
      <c r="BK9" s="118">
        <f>H9*Navires!$B$6</f>
        <v>5133.5999999999995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57211.119999999995</v>
      </c>
    </row>
    <row r="10" spans="1:73" x14ac:dyDescent="0.25">
      <c r="A10" t="s">
        <v>54</v>
      </c>
      <c r="B10" s="2" t="s">
        <v>42</v>
      </c>
      <c r="C10" s="2">
        <v>14</v>
      </c>
      <c r="D10" s="2">
        <v>13</v>
      </c>
      <c r="E10" s="2">
        <v>0</v>
      </c>
      <c r="F10" s="2">
        <v>8</v>
      </c>
      <c r="G10" s="2">
        <v>9</v>
      </c>
      <c r="H10" s="2">
        <v>13</v>
      </c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57</v>
      </c>
      <c r="S10" s="82">
        <f t="shared" si="1"/>
        <v>12.866817155756209</v>
      </c>
      <c r="U10" s="2" t="s">
        <v>42</v>
      </c>
      <c r="V10" s="2">
        <f>C10*Navires!$B$2</f>
        <v>27370</v>
      </c>
      <c r="W10" s="2">
        <f>D10*Navires!$C$2</f>
        <v>25415</v>
      </c>
      <c r="X10" s="2">
        <f>E10*Navires!$D$2</f>
        <v>0</v>
      </c>
      <c r="Y10" s="2">
        <f>F10*Navires!$E$2</f>
        <v>15040</v>
      </c>
      <c r="Z10" s="2">
        <f>G10*Navires!$F$2</f>
        <v>17064</v>
      </c>
      <c r="AA10" s="2">
        <f>H10*Navires!$G$2</f>
        <v>26000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110889</v>
      </c>
      <c r="AM10" s="118" t="s">
        <v>42</v>
      </c>
      <c r="AN10" s="118">
        <f>C10*Navires!$B$6</f>
        <v>7985.5999999999995</v>
      </c>
      <c r="AO10" s="118">
        <f>D10*Navires!$C$6</f>
        <v>7415.2</v>
      </c>
      <c r="AP10" s="118">
        <f>E10*Navires!$D$6</f>
        <v>0</v>
      </c>
      <c r="AQ10" s="118">
        <f>F10*Navires!$E$6</f>
        <v>9824</v>
      </c>
      <c r="AR10" s="118">
        <f>G10*Navires!$F$6</f>
        <v>6127.2000000000007</v>
      </c>
      <c r="AS10" s="118">
        <f>H10*Navires!$G$6</f>
        <v>8840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12057.6</v>
      </c>
      <c r="BE10" s="118" t="s">
        <v>42</v>
      </c>
      <c r="BF10" s="118">
        <f>C10*Navires!$B$6</f>
        <v>7985.5999999999995</v>
      </c>
      <c r="BG10" s="118">
        <f>D10*Navires!$B$6</f>
        <v>7415.2</v>
      </c>
      <c r="BH10" s="118">
        <f>E10*Navires!$B$6</f>
        <v>0</v>
      </c>
      <c r="BI10" s="118">
        <f>F10*Navires!$B$6</f>
        <v>4563.2</v>
      </c>
      <c r="BJ10" s="118">
        <f>G10*Navires!$B$6</f>
        <v>5133.5999999999995</v>
      </c>
      <c r="BK10" s="118">
        <f>H10*Navires!$B$6</f>
        <v>7415.2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55271.759999999995</v>
      </c>
    </row>
    <row r="11" spans="1:73" x14ac:dyDescent="0.25">
      <c r="A11" t="s">
        <v>55</v>
      </c>
      <c r="B11" s="2" t="s">
        <v>43</v>
      </c>
      <c r="C11" s="2">
        <v>14</v>
      </c>
      <c r="D11" s="2">
        <v>16</v>
      </c>
      <c r="E11" s="2">
        <v>0</v>
      </c>
      <c r="F11" s="2">
        <v>9</v>
      </c>
      <c r="G11" s="2">
        <v>9</v>
      </c>
      <c r="H11" s="2">
        <v>12</v>
      </c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60</v>
      </c>
      <c r="S11" s="82">
        <f t="shared" si="1"/>
        <v>13.544018058690746</v>
      </c>
      <c r="U11" s="2" t="s">
        <v>43</v>
      </c>
      <c r="V11" s="2">
        <f>C11*Navires!$B$2</f>
        <v>27370</v>
      </c>
      <c r="W11" s="2">
        <f>D11*Navires!$C$2</f>
        <v>31280</v>
      </c>
      <c r="X11" s="2">
        <f>E11*Navires!$D$2</f>
        <v>0</v>
      </c>
      <c r="Y11" s="2">
        <f>F11*Navires!$E$2</f>
        <v>16920</v>
      </c>
      <c r="Z11" s="2">
        <f>G11*Navires!$F$2</f>
        <v>17064</v>
      </c>
      <c r="AA11" s="2">
        <f>H11*Navires!$G$2</f>
        <v>24000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116634</v>
      </c>
      <c r="AM11" s="118" t="s">
        <v>43</v>
      </c>
      <c r="AN11" s="118">
        <f>C11*Navires!$B$6</f>
        <v>7985.5999999999995</v>
      </c>
      <c r="AO11" s="118">
        <f>D11*Navires!$C$6</f>
        <v>9126.4</v>
      </c>
      <c r="AP11" s="118">
        <f>E11*Navires!$D$6</f>
        <v>0</v>
      </c>
      <c r="AQ11" s="118">
        <f>F11*Navires!$E$6</f>
        <v>11052</v>
      </c>
      <c r="AR11" s="118">
        <f>G11*Navires!$F$6</f>
        <v>6127.2000000000007</v>
      </c>
      <c r="AS11" s="118">
        <f>H11*Navires!$G$6</f>
        <v>8160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12735.359999999999</v>
      </c>
      <c r="BE11" s="118" t="s">
        <v>43</v>
      </c>
      <c r="BF11" s="118">
        <f>C11*Navires!$B$6</f>
        <v>7985.5999999999995</v>
      </c>
      <c r="BG11" s="118">
        <f>D11*Navires!$B$6</f>
        <v>9126.4</v>
      </c>
      <c r="BH11" s="118">
        <f>E11*Navires!$B$6</f>
        <v>0</v>
      </c>
      <c r="BI11" s="118">
        <f>F11*Navires!$B$6</f>
        <v>5133.5999999999995</v>
      </c>
      <c r="BJ11" s="118">
        <f>G11*Navires!$B$6</f>
        <v>5133.5999999999995</v>
      </c>
      <c r="BK11" s="118">
        <f>H11*Navires!$B$6</f>
        <v>6844.7999999999993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58180.799999999996</v>
      </c>
    </row>
    <row r="12" spans="1:73" x14ac:dyDescent="0.25">
      <c r="A12" t="s">
        <v>56</v>
      </c>
      <c r="B12" s="2" t="s">
        <v>44</v>
      </c>
      <c r="C12" s="2">
        <v>5</v>
      </c>
      <c r="D12" s="2">
        <v>19</v>
      </c>
      <c r="E12" s="2">
        <v>0</v>
      </c>
      <c r="F12" s="2">
        <v>8</v>
      </c>
      <c r="G12" s="2">
        <v>8</v>
      </c>
      <c r="H12" s="2">
        <v>16</v>
      </c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56</v>
      </c>
      <c r="S12" s="82">
        <f t="shared" si="1"/>
        <v>13.084112149532709</v>
      </c>
      <c r="U12" s="2" t="s">
        <v>44</v>
      </c>
      <c r="V12" s="2">
        <f>C12*Navires!$B$2</f>
        <v>9775</v>
      </c>
      <c r="W12" s="2">
        <f>D12*Navires!$C$2</f>
        <v>37145</v>
      </c>
      <c r="X12" s="2">
        <f>E12*Navires!$D$2</f>
        <v>0</v>
      </c>
      <c r="Y12" s="2">
        <f>F12*Navires!$E$2</f>
        <v>15040</v>
      </c>
      <c r="Z12" s="2">
        <f>G12*Navires!$F$2</f>
        <v>15168</v>
      </c>
      <c r="AA12" s="2">
        <f>H12*Navires!$G$2</f>
        <v>32000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109128</v>
      </c>
      <c r="AM12" s="118" t="s">
        <v>44</v>
      </c>
      <c r="AN12" s="118">
        <f>C12*Navires!$B$6</f>
        <v>2852</v>
      </c>
      <c r="AO12" s="118">
        <f>D12*Navires!$C$6</f>
        <v>10837.6</v>
      </c>
      <c r="AP12" s="118">
        <f>E12*Navires!$D$6</f>
        <v>0</v>
      </c>
      <c r="AQ12" s="118">
        <f>F12*Navires!$E$6</f>
        <v>9824</v>
      </c>
      <c r="AR12" s="118">
        <f>G12*Navires!$F$6</f>
        <v>5446.4000000000005</v>
      </c>
      <c r="AS12" s="118">
        <f>H12*Navires!$G$6</f>
        <v>10880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11952</v>
      </c>
      <c r="BE12" s="118" t="s">
        <v>44</v>
      </c>
      <c r="BF12" s="118">
        <f>C12*Navires!$B$6</f>
        <v>2852</v>
      </c>
      <c r="BG12" s="118">
        <f>D12*Navires!$B$6</f>
        <v>10837.6</v>
      </c>
      <c r="BH12" s="118">
        <f>E12*Navires!$B$6</f>
        <v>0</v>
      </c>
      <c r="BI12" s="118">
        <f>F12*Navires!$B$6</f>
        <v>4563.2</v>
      </c>
      <c r="BJ12" s="118">
        <f>G12*Navires!$B$6</f>
        <v>4563.2</v>
      </c>
      <c r="BK12" s="118">
        <f>H12*Navires!$B$6</f>
        <v>9126.4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54302.080000000002</v>
      </c>
    </row>
    <row r="13" spans="1:73" x14ac:dyDescent="0.25">
      <c r="A13" t="s">
        <v>57</v>
      </c>
      <c r="B13" s="2" t="s">
        <v>45</v>
      </c>
      <c r="C13" s="2">
        <v>6</v>
      </c>
      <c r="D13" s="2">
        <v>14</v>
      </c>
      <c r="E13" s="2">
        <v>0</v>
      </c>
      <c r="F13" s="2">
        <v>1</v>
      </c>
      <c r="G13" s="2">
        <v>9</v>
      </c>
      <c r="H13" s="2">
        <v>12</v>
      </c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42</v>
      </c>
      <c r="S13" s="82">
        <f t="shared" si="1"/>
        <v>9.4808126410835225</v>
      </c>
      <c r="U13" s="2" t="s">
        <v>45</v>
      </c>
      <c r="V13" s="2">
        <f>C13*Navires!$B$2</f>
        <v>11730</v>
      </c>
      <c r="W13" s="2">
        <f>D13*Navires!$C$2</f>
        <v>27370</v>
      </c>
      <c r="X13" s="2">
        <f>E13*Navires!$D$2</f>
        <v>0</v>
      </c>
      <c r="Y13" s="2">
        <f>F13*Navires!$E$2</f>
        <v>1880</v>
      </c>
      <c r="Z13" s="2">
        <f>G13*Navires!$F$2</f>
        <v>17064</v>
      </c>
      <c r="AA13" s="2">
        <f>H13*Navires!$G$2</f>
        <v>24000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82044</v>
      </c>
      <c r="AM13" s="118" t="s">
        <v>45</v>
      </c>
      <c r="AN13" s="118">
        <f>C13*Navires!$B$6</f>
        <v>3422.3999999999996</v>
      </c>
      <c r="AO13" s="118">
        <f>D13*Navires!$C$6</f>
        <v>7985.5999999999995</v>
      </c>
      <c r="AP13" s="118">
        <f>E13*Navires!$D$6</f>
        <v>0</v>
      </c>
      <c r="AQ13" s="118">
        <f>F13*Navires!$E$6</f>
        <v>1228</v>
      </c>
      <c r="AR13" s="118">
        <f>G13*Navires!$F$6</f>
        <v>6127.2000000000007</v>
      </c>
      <c r="AS13" s="118">
        <f>H13*Navires!$G$6</f>
        <v>8160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13461.6</v>
      </c>
      <c r="BE13" s="118" t="s">
        <v>45</v>
      </c>
      <c r="BF13" s="118">
        <f>C13*Navires!$B$6</f>
        <v>3422.3999999999996</v>
      </c>
      <c r="BG13" s="118">
        <f>D13*Navires!$B$6</f>
        <v>7985.5999999999995</v>
      </c>
      <c r="BH13" s="118">
        <f>E13*Navires!$B$6</f>
        <v>0</v>
      </c>
      <c r="BI13" s="118">
        <f>F13*Navires!$B$6</f>
        <v>570.4</v>
      </c>
      <c r="BJ13" s="118">
        <f>G13*Navires!$B$6</f>
        <v>5133.5999999999995</v>
      </c>
      <c r="BK13" s="118">
        <f>H13*Navires!$B$6</f>
        <v>6844.7999999999993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40726.559999999998</v>
      </c>
    </row>
    <row r="14" spans="1:73" x14ac:dyDescent="0.25">
      <c r="A14" t="s">
        <v>58</v>
      </c>
      <c r="B14" s="2" t="s">
        <v>46</v>
      </c>
      <c r="C14" s="2">
        <v>15</v>
      </c>
      <c r="D14" s="2">
        <v>1</v>
      </c>
      <c r="E14" s="2">
        <v>0</v>
      </c>
      <c r="F14" s="2">
        <v>0</v>
      </c>
      <c r="G14" s="2">
        <v>3</v>
      </c>
      <c r="H14" s="2">
        <v>12</v>
      </c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31</v>
      </c>
      <c r="S14" s="82">
        <f t="shared" si="1"/>
        <v>7.2429906542056068</v>
      </c>
      <c r="U14" s="2" t="s">
        <v>46</v>
      </c>
      <c r="V14" s="2">
        <f>C14*Navires!$B$2</f>
        <v>29325</v>
      </c>
      <c r="W14" s="2">
        <f>D14*Navires!$C$2</f>
        <v>1955</v>
      </c>
      <c r="X14" s="2">
        <f>E14*Navires!$D$2</f>
        <v>0</v>
      </c>
      <c r="Y14" s="2">
        <f>F14*Navires!$E$2</f>
        <v>0</v>
      </c>
      <c r="Z14" s="2">
        <f>G14*Navires!$F$2</f>
        <v>5688</v>
      </c>
      <c r="AA14" s="2">
        <f>H14*Navires!$G$2</f>
        <v>24000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60968</v>
      </c>
      <c r="AM14" s="118" t="s">
        <v>46</v>
      </c>
      <c r="AN14" s="118">
        <f>C14*Navires!$B$6</f>
        <v>8556</v>
      </c>
      <c r="AO14" s="118">
        <f>D14*Navires!$C$6</f>
        <v>570.4</v>
      </c>
      <c r="AP14" s="118">
        <f>E14*Navires!$D$6</f>
        <v>0</v>
      </c>
      <c r="AQ14" s="118">
        <f>F14*Navires!$E$6</f>
        <v>0</v>
      </c>
      <c r="AR14" s="118">
        <f>G14*Navires!$F$6</f>
        <v>2042.4</v>
      </c>
      <c r="AS14" s="118">
        <f>H14*Navires!$G$6</f>
        <v>8160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9664.4</v>
      </c>
      <c r="BE14" s="118" t="s">
        <v>46</v>
      </c>
      <c r="BF14" s="118">
        <f>C14*Navires!$B$6</f>
        <v>8556</v>
      </c>
      <c r="BG14" s="118">
        <f>D14*Navires!$B$6</f>
        <v>570.4</v>
      </c>
      <c r="BH14" s="118">
        <f>E14*Navires!$B$6</f>
        <v>0</v>
      </c>
      <c r="BI14" s="118">
        <f>F14*Navires!$B$6</f>
        <v>0</v>
      </c>
      <c r="BJ14" s="118">
        <f>G14*Navires!$B$6</f>
        <v>1711.1999999999998</v>
      </c>
      <c r="BK14" s="118">
        <f>H14*Navires!$B$6</f>
        <v>6844.7999999999993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12377.679999999998</v>
      </c>
    </row>
    <row r="15" spans="1:73" x14ac:dyDescent="0.25">
      <c r="A15" t="s">
        <v>59</v>
      </c>
      <c r="B15" s="2" t="s">
        <v>47</v>
      </c>
      <c r="C15" s="2">
        <v>9</v>
      </c>
      <c r="D15" s="2">
        <v>0</v>
      </c>
      <c r="E15" s="2">
        <v>8</v>
      </c>
      <c r="F15" s="2">
        <v>0</v>
      </c>
      <c r="G15" s="2">
        <v>11</v>
      </c>
      <c r="H15" s="2">
        <v>7</v>
      </c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35</v>
      </c>
      <c r="S15" s="82">
        <f t="shared" si="1"/>
        <v>7.9006772009029351</v>
      </c>
      <c r="U15" s="2" t="s">
        <v>47</v>
      </c>
      <c r="V15" s="2">
        <f>C15*Navires!$B$2</f>
        <v>17595</v>
      </c>
      <c r="W15" s="2">
        <f>D15*Navires!$C$2</f>
        <v>0</v>
      </c>
      <c r="X15" s="2">
        <f>E15*Navires!$D$2</f>
        <v>16848</v>
      </c>
      <c r="Y15" s="2">
        <f>F15*Navires!$E$2</f>
        <v>0</v>
      </c>
      <c r="Z15" s="2">
        <f>G15*Navires!$F$2</f>
        <v>20856</v>
      </c>
      <c r="AA15" s="2">
        <f>H15*Navires!$G$2</f>
        <v>14000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69299</v>
      </c>
      <c r="AM15" s="118" t="s">
        <v>47</v>
      </c>
      <c r="AN15" s="118">
        <f>C15*Navires!$B$6</f>
        <v>5133.5999999999995</v>
      </c>
      <c r="AO15" s="118">
        <f>D15*Navires!$C$6</f>
        <v>0</v>
      </c>
      <c r="AP15" s="118">
        <f>E15*Navires!$D$6</f>
        <v>6400</v>
      </c>
      <c r="AQ15" s="118">
        <f>F15*Navires!$E$6</f>
        <v>0</v>
      </c>
      <c r="AR15" s="118">
        <f>G15*Navires!$F$6</f>
        <v>7488.8000000000011</v>
      </c>
      <c r="AS15" s="118">
        <f>H15*Navires!$G$6</f>
        <v>4760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11891.2</v>
      </c>
      <c r="BE15" s="118" t="s">
        <v>47</v>
      </c>
      <c r="BF15" s="118">
        <f>C15*Navires!$B$6</f>
        <v>5133.5999999999995</v>
      </c>
      <c r="BG15" s="118">
        <f>D15*Navires!$B$6</f>
        <v>0</v>
      </c>
      <c r="BH15" s="118">
        <f>E15*Navires!$B$6</f>
        <v>4563.2</v>
      </c>
      <c r="BI15" s="118">
        <f>F15*Navires!$B$6</f>
        <v>0</v>
      </c>
      <c r="BJ15" s="118">
        <f>G15*Navires!$B$6</f>
        <v>6274.4</v>
      </c>
      <c r="BK15" s="118">
        <f>H15*Navires!$B$6</f>
        <v>3992.7999999999997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13974.8</v>
      </c>
    </row>
    <row r="16" spans="1:73" x14ac:dyDescent="0.25">
      <c r="B16" s="29" t="s">
        <v>60</v>
      </c>
      <c r="C16" s="30">
        <f>SUM(C4:C15)</f>
        <v>94</v>
      </c>
      <c r="D16" s="30">
        <f t="shared" ref="D16:Q16" si="2">SUM(D4:D15)</f>
        <v>92</v>
      </c>
      <c r="E16" s="30">
        <f>SUM(E4:E15)</f>
        <v>74</v>
      </c>
      <c r="F16" s="30">
        <f t="shared" si="2"/>
        <v>67</v>
      </c>
      <c r="G16" s="30">
        <f t="shared" si="2"/>
        <v>85</v>
      </c>
      <c r="H16" s="30">
        <f t="shared" si="2"/>
        <v>112</v>
      </c>
      <c r="I16" s="30">
        <f t="shared" si="2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524</v>
      </c>
      <c r="S16" s="82">
        <f t="shared" si="1"/>
        <v>10.051793592940724</v>
      </c>
      <c r="U16" s="29" t="s">
        <v>60</v>
      </c>
      <c r="V16" s="30">
        <f>SUM(V4:V15)</f>
        <v>183770</v>
      </c>
      <c r="W16" s="30">
        <f t="shared" ref="W16:AJ16" si="3">SUM(W4:W15)</f>
        <v>179860</v>
      </c>
      <c r="X16" s="30">
        <f t="shared" si="3"/>
        <v>155844</v>
      </c>
      <c r="Y16" s="30">
        <f t="shared" si="3"/>
        <v>125960</v>
      </c>
      <c r="Z16" s="30">
        <f t="shared" si="3"/>
        <v>161160</v>
      </c>
      <c r="AA16" s="30">
        <f t="shared" si="3"/>
        <v>224000</v>
      </c>
      <c r="AB16" s="30">
        <f t="shared" si="3"/>
        <v>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53617.599999999999</v>
      </c>
      <c r="AO16" s="30">
        <f t="shared" ref="AO16:BB16" si="4">SUM(AO4:AO15)</f>
        <v>52476.799999999996</v>
      </c>
      <c r="AP16" s="30">
        <f t="shared" si="4"/>
        <v>59200</v>
      </c>
      <c r="AQ16" s="30">
        <f t="shared" si="4"/>
        <v>82276</v>
      </c>
      <c r="AR16" s="30">
        <f t="shared" si="4"/>
        <v>57868.000000000007</v>
      </c>
      <c r="AS16" s="30">
        <f t="shared" si="4"/>
        <v>76160</v>
      </c>
      <c r="AT16" s="30">
        <f t="shared" si="4"/>
        <v>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53617.599999999999</v>
      </c>
      <c r="BG16" s="30">
        <f t="shared" ref="BG16:BT16" si="5">SUM(BG4:BG15)</f>
        <v>52476.799999999996</v>
      </c>
      <c r="BH16" s="30">
        <f t="shared" si="5"/>
        <v>42209.599999999999</v>
      </c>
      <c r="BI16" s="30">
        <f t="shared" si="5"/>
        <v>38216.799999999996</v>
      </c>
      <c r="BJ16" s="30">
        <f t="shared" si="5"/>
        <v>48483.999999999993</v>
      </c>
      <c r="BK16" s="30">
        <f t="shared" si="5"/>
        <v>63884.800000000003</v>
      </c>
      <c r="BL16" s="30">
        <f t="shared" si="5"/>
        <v>0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66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0</v>
      </c>
      <c r="E21" s="2">
        <v>15</v>
      </c>
      <c r="F21" s="2">
        <v>0</v>
      </c>
      <c r="G21" s="2">
        <v>5</v>
      </c>
      <c r="H21" s="2">
        <v>12</v>
      </c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32</v>
      </c>
      <c r="S21" s="82">
        <f>R21/R36</f>
        <v>7.2234762979683982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31590</v>
      </c>
      <c r="Y21" s="2">
        <f>F21*Navires!$E$2</f>
        <v>0</v>
      </c>
      <c r="Z21" s="2">
        <f>G21*Navires!$F$2</f>
        <v>9480</v>
      </c>
      <c r="AA21" s="2">
        <f>H21*Navires!$G$2</f>
        <v>24000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65070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12000</v>
      </c>
      <c r="AQ21" s="118">
        <f>F21*Navires!$E$6</f>
        <v>0</v>
      </c>
      <c r="AR21" s="118">
        <f>G21*Navires!$F$6</f>
        <v>3404.0000000000005</v>
      </c>
      <c r="AS21" s="118">
        <f>H21*Navires!$G$6</f>
        <v>8160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11782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8556</v>
      </c>
      <c r="BI21" s="118">
        <f>F21*Navires!$B$6</f>
        <v>0</v>
      </c>
      <c r="BJ21" s="118">
        <f>G21*Navires!$B$6</f>
        <v>2852</v>
      </c>
      <c r="BK21" s="118">
        <f>H21*Navires!$B$6</f>
        <v>6844.7999999999993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12776.96</v>
      </c>
    </row>
    <row r="22" spans="1:73" x14ac:dyDescent="0.25">
      <c r="A22" t="s">
        <v>49</v>
      </c>
      <c r="B22" s="2" t="s">
        <v>37</v>
      </c>
      <c r="C22" s="2">
        <v>3</v>
      </c>
      <c r="D22" s="2">
        <v>10</v>
      </c>
      <c r="E22">
        <v>0</v>
      </c>
      <c r="F22" s="2">
        <v>5</v>
      </c>
      <c r="G22" s="2">
        <v>0</v>
      </c>
      <c r="H22" s="2">
        <v>11</v>
      </c>
      <c r="I22" s="2"/>
      <c r="J22" s="2"/>
      <c r="K22" s="2"/>
      <c r="L22" s="2"/>
      <c r="M22" s="2"/>
      <c r="N22" s="2"/>
      <c r="O22" s="2"/>
      <c r="P22" s="2"/>
      <c r="Q22" s="32"/>
      <c r="R22" s="34">
        <f t="shared" ref="R22:R33" si="6">SUM(C22:Q22)</f>
        <v>29</v>
      </c>
      <c r="S22" s="82">
        <f t="shared" ref="S22:S33" si="7">R22/R37</f>
        <v>7.25</v>
      </c>
      <c r="U22" s="2" t="s">
        <v>37</v>
      </c>
      <c r="V22" s="2">
        <f>C22*Navires!$B$2</f>
        <v>5865</v>
      </c>
      <c r="W22" s="2">
        <f>D22*Navires!$C$2</f>
        <v>19550</v>
      </c>
      <c r="X22" s="2">
        <f>E22*Navires!$D$2</f>
        <v>0</v>
      </c>
      <c r="Y22" s="2">
        <f>F22*Navires!$E$2</f>
        <v>9400</v>
      </c>
      <c r="Z22" s="2">
        <f>G22*Navires!$F$2</f>
        <v>0</v>
      </c>
      <c r="AA22" s="2">
        <f>H22*Navires!$G$2</f>
        <v>22000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56815</v>
      </c>
      <c r="AM22" s="118" t="s">
        <v>37</v>
      </c>
      <c r="AN22" s="118">
        <f>C22*Navires!$B$6</f>
        <v>1711.1999999999998</v>
      </c>
      <c r="AO22" s="118">
        <f>D22*Navires!$C$6</f>
        <v>5704</v>
      </c>
      <c r="AP22" s="118">
        <f>E22*Navires!$D$6</f>
        <v>0</v>
      </c>
      <c r="AQ22" s="118">
        <f>F22*Navires!$E$6</f>
        <v>6140</v>
      </c>
      <c r="AR22" s="118">
        <f>G22*Navires!$F$6</f>
        <v>0</v>
      </c>
      <c r="AS22" s="118">
        <f>H22*Navires!$G$6</f>
        <v>7480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10517.6</v>
      </c>
      <c r="BE22" s="118" t="s">
        <v>37</v>
      </c>
      <c r="BF22" s="118">
        <f>C22*Navires!$B$6</f>
        <v>1711.1999999999998</v>
      </c>
      <c r="BG22" s="118">
        <f>D22*Navires!$B$6</f>
        <v>5704</v>
      </c>
      <c r="BH22" s="118">
        <f>E22*Navires!$B$6</f>
        <v>0</v>
      </c>
      <c r="BI22" s="118">
        <f>F22*Navires!$B$6</f>
        <v>2852</v>
      </c>
      <c r="BJ22" s="118">
        <f>G22*Navires!$B$6</f>
        <v>0</v>
      </c>
      <c r="BK22" s="118">
        <f>H22*Navires!$B$6</f>
        <v>6274.4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11579.119999999999</v>
      </c>
    </row>
    <row r="23" spans="1:73" x14ac:dyDescent="0.25">
      <c r="A23" t="s">
        <v>50</v>
      </c>
      <c r="B23" s="2" t="s">
        <v>38</v>
      </c>
      <c r="C23" s="2">
        <v>3</v>
      </c>
      <c r="D23" s="2">
        <v>11</v>
      </c>
      <c r="E23" s="2">
        <v>12</v>
      </c>
      <c r="F23" s="2">
        <v>3</v>
      </c>
      <c r="G23" s="2">
        <v>0</v>
      </c>
      <c r="H23" s="2">
        <v>2</v>
      </c>
      <c r="I23" s="2"/>
      <c r="J23" s="2"/>
      <c r="K23" s="2"/>
      <c r="L23" s="2"/>
      <c r="M23" s="2"/>
      <c r="N23" s="2"/>
      <c r="O23" s="2"/>
      <c r="P23" s="2"/>
      <c r="Q23" s="32"/>
      <c r="R23" s="34">
        <f t="shared" si="6"/>
        <v>31</v>
      </c>
      <c r="S23" s="82">
        <f t="shared" si="7"/>
        <v>6.9977426636568856</v>
      </c>
      <c r="U23" s="2" t="s">
        <v>38</v>
      </c>
      <c r="V23" s="2">
        <f>C23*Navires!$B$2</f>
        <v>5865</v>
      </c>
      <c r="W23" s="2">
        <f>D23*Navires!$C$2</f>
        <v>21505</v>
      </c>
      <c r="X23" s="2">
        <f>E23*Navires!$D$2</f>
        <v>25272</v>
      </c>
      <c r="Y23" s="2">
        <f>F23*Navires!$E$2</f>
        <v>5640</v>
      </c>
      <c r="Z23" s="2">
        <f>G23*Navires!$F$2</f>
        <v>0</v>
      </c>
      <c r="AA23" s="2">
        <f>H23*Navires!$G$2</f>
        <v>4000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62282</v>
      </c>
      <c r="AM23" s="118" t="s">
        <v>38</v>
      </c>
      <c r="AN23" s="118">
        <f>C23*Navires!$B$6</f>
        <v>1711.1999999999998</v>
      </c>
      <c r="AO23" s="118">
        <f>D23*Navires!$C$6</f>
        <v>6274.4</v>
      </c>
      <c r="AP23" s="118">
        <f>E23*Navires!$D$6</f>
        <v>9600</v>
      </c>
      <c r="AQ23" s="118">
        <f>F23*Navires!$E$6</f>
        <v>3684</v>
      </c>
      <c r="AR23" s="118">
        <f>G23*Navires!$F$6</f>
        <v>0</v>
      </c>
      <c r="AS23" s="118">
        <f>H23*Navires!$G$6</f>
        <v>1360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11314.8</v>
      </c>
      <c r="BE23" s="118" t="s">
        <v>38</v>
      </c>
      <c r="BF23" s="118">
        <f>C23*Navires!$B$6</f>
        <v>1711.1999999999998</v>
      </c>
      <c r="BG23" s="118">
        <f>D23*Navires!$B$6</f>
        <v>6274.4</v>
      </c>
      <c r="BH23" s="118">
        <f>E23*Navires!$B$6</f>
        <v>6844.7999999999993</v>
      </c>
      <c r="BI23" s="118">
        <f>F23*Navires!$B$6</f>
        <v>1711.1999999999998</v>
      </c>
      <c r="BJ23" s="118">
        <f>G23*Navires!$B$6</f>
        <v>0</v>
      </c>
      <c r="BK23" s="118">
        <f>H23*Navires!$B$6</f>
        <v>1140.8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12377.679999999998</v>
      </c>
    </row>
    <row r="24" spans="1:73" x14ac:dyDescent="0.25">
      <c r="A24" t="s">
        <v>51</v>
      </c>
      <c r="B24" s="2" t="s">
        <v>39</v>
      </c>
      <c r="C24" s="2">
        <v>0</v>
      </c>
      <c r="D24" s="2">
        <v>4</v>
      </c>
      <c r="E24" s="2">
        <v>19</v>
      </c>
      <c r="F24" s="2">
        <v>12</v>
      </c>
      <c r="G24" s="2">
        <v>6</v>
      </c>
      <c r="H24" s="2">
        <v>0</v>
      </c>
      <c r="I24" s="2"/>
      <c r="J24" s="2"/>
      <c r="K24" s="2"/>
      <c r="L24" s="2"/>
      <c r="M24" s="2"/>
      <c r="N24" s="2"/>
      <c r="O24" s="2"/>
      <c r="P24" s="2"/>
      <c r="Q24" s="32"/>
      <c r="R24" s="34">
        <f t="shared" si="6"/>
        <v>41</v>
      </c>
      <c r="S24" s="82">
        <f t="shared" si="7"/>
        <v>9.5794392523364476</v>
      </c>
      <c r="U24" s="2" t="s">
        <v>39</v>
      </c>
      <c r="V24" s="2">
        <f>C24*Navires!$B$2</f>
        <v>0</v>
      </c>
      <c r="W24" s="2">
        <f>D24*Navires!$C$2</f>
        <v>7820</v>
      </c>
      <c r="X24" s="2">
        <f>E24*Navires!$D$2</f>
        <v>40014</v>
      </c>
      <c r="Y24" s="2">
        <f>F24*Navires!$E$2</f>
        <v>22560</v>
      </c>
      <c r="Z24" s="2">
        <f>G24*Navires!$F$2</f>
        <v>11376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81770</v>
      </c>
      <c r="AM24" s="118" t="s">
        <v>39</v>
      </c>
      <c r="AN24" s="118">
        <f>C24*Navires!$B$6</f>
        <v>0</v>
      </c>
      <c r="AO24" s="118">
        <f>D24*Navires!$C$6</f>
        <v>2281.6</v>
      </c>
      <c r="AP24" s="118">
        <f>E24*Navires!$D$6</f>
        <v>15200</v>
      </c>
      <c r="AQ24" s="118">
        <f>F24*Navires!$E$6</f>
        <v>14736</v>
      </c>
      <c r="AR24" s="118">
        <f>G24*Navires!$F$6</f>
        <v>4084.8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18151.2</v>
      </c>
      <c r="BE24" s="118" t="s">
        <v>39</v>
      </c>
      <c r="BF24" s="118">
        <f>C24*Navires!$B$6</f>
        <v>0</v>
      </c>
      <c r="BG24" s="118">
        <f>D24*Navires!$B$6</f>
        <v>2281.6</v>
      </c>
      <c r="BH24" s="118">
        <f>E24*Navires!$B$6</f>
        <v>10837.6</v>
      </c>
      <c r="BI24" s="118">
        <f>F24*Navires!$B$6</f>
        <v>6844.7999999999993</v>
      </c>
      <c r="BJ24" s="118">
        <f>G24*Navires!$B$6</f>
        <v>3422.3999999999996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39756.880000000005</v>
      </c>
    </row>
    <row r="25" spans="1:73" x14ac:dyDescent="0.25">
      <c r="A25" t="s">
        <v>52</v>
      </c>
      <c r="B25" s="2" t="s">
        <v>40</v>
      </c>
      <c r="C25" s="2">
        <v>0</v>
      </c>
      <c r="D25" s="2">
        <v>2</v>
      </c>
      <c r="E25" s="2">
        <v>20</v>
      </c>
      <c r="F25" s="2">
        <v>9</v>
      </c>
      <c r="G25" s="2">
        <v>11</v>
      </c>
      <c r="H25" s="2">
        <v>7</v>
      </c>
      <c r="I25" s="2"/>
      <c r="J25" s="2"/>
      <c r="K25" s="2"/>
      <c r="L25" s="2"/>
      <c r="M25" s="2"/>
      <c r="N25" s="2"/>
      <c r="O25" s="2"/>
      <c r="P25" s="2"/>
      <c r="Q25" s="32"/>
      <c r="R25" s="34">
        <f t="shared" si="6"/>
        <v>49</v>
      </c>
      <c r="S25" s="82">
        <f t="shared" si="7"/>
        <v>11.06094808126411</v>
      </c>
      <c r="U25" s="2" t="s">
        <v>40</v>
      </c>
      <c r="V25" s="2">
        <f>C25*Navires!$B$2</f>
        <v>0</v>
      </c>
      <c r="W25" s="2">
        <f>D25*Navires!$C$2</f>
        <v>3910</v>
      </c>
      <c r="X25" s="2">
        <f>E25*Navires!$D$2</f>
        <v>42120</v>
      </c>
      <c r="Y25" s="2">
        <f>F25*Navires!$E$2</f>
        <v>16920</v>
      </c>
      <c r="Z25" s="2">
        <f>G25*Navires!$F$2</f>
        <v>20856</v>
      </c>
      <c r="AA25" s="2">
        <f>H25*Navires!$G$2</f>
        <v>14000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97806</v>
      </c>
      <c r="AM25" s="118" t="s">
        <v>40</v>
      </c>
      <c r="AN25" s="118">
        <f>C25*Navires!$B$6</f>
        <v>0</v>
      </c>
      <c r="AO25" s="118">
        <f>D25*Navires!$C$6</f>
        <v>1140.8</v>
      </c>
      <c r="AP25" s="118">
        <f>E25*Navires!$D$6</f>
        <v>16000</v>
      </c>
      <c r="AQ25" s="118">
        <f>F25*Navires!$E$6</f>
        <v>11052</v>
      </c>
      <c r="AR25" s="118">
        <f>G25*Navires!$F$6</f>
        <v>7488.8000000000011</v>
      </c>
      <c r="AS25" s="118">
        <f>H25*Navires!$G$6</f>
        <v>4760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12132.48</v>
      </c>
      <c r="BE25" s="118" t="s">
        <v>40</v>
      </c>
      <c r="BF25" s="118">
        <f>C25*Navires!$B$6</f>
        <v>0</v>
      </c>
      <c r="BG25" s="118">
        <f>D25*Navires!$B$6</f>
        <v>1140.8</v>
      </c>
      <c r="BH25" s="118">
        <f>E25*Navires!$B$6</f>
        <v>11408</v>
      </c>
      <c r="BI25" s="118">
        <f>F25*Navires!$B$6</f>
        <v>5133.5999999999995</v>
      </c>
      <c r="BJ25" s="118">
        <f>G25*Navires!$B$6</f>
        <v>6274.4</v>
      </c>
      <c r="BK25" s="118">
        <f>H25*Navires!$B$6</f>
        <v>3992.7999999999997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47514.319999999992</v>
      </c>
    </row>
    <row r="26" spans="1:73" x14ac:dyDescent="0.25">
      <c r="A26" t="s">
        <v>53</v>
      </c>
      <c r="B26" s="2" t="s">
        <v>41</v>
      </c>
      <c r="C26" s="2">
        <v>25</v>
      </c>
      <c r="D26" s="2">
        <v>0</v>
      </c>
      <c r="E26" s="2">
        <v>0</v>
      </c>
      <c r="F26" s="2">
        <v>12</v>
      </c>
      <c r="G26" s="2">
        <v>12</v>
      </c>
      <c r="H26" s="2">
        <v>11</v>
      </c>
      <c r="I26" s="2"/>
      <c r="J26" s="2"/>
      <c r="K26" s="2"/>
      <c r="L26" s="2"/>
      <c r="M26" s="2"/>
      <c r="N26" s="2"/>
      <c r="O26" s="2"/>
      <c r="P26" s="2"/>
      <c r="Q26" s="32"/>
      <c r="R26" s="34">
        <f t="shared" si="6"/>
        <v>60</v>
      </c>
      <c r="S26" s="82">
        <f t="shared" si="7"/>
        <v>14.018691588785046</v>
      </c>
      <c r="U26" s="2" t="s">
        <v>41</v>
      </c>
      <c r="V26" s="2">
        <f>C26*Navires!$B$2</f>
        <v>48875</v>
      </c>
      <c r="W26" s="2">
        <f>D26*Navires!$C$2</f>
        <v>0</v>
      </c>
      <c r="X26" s="2">
        <f>E26*Navires!$D$2</f>
        <v>0</v>
      </c>
      <c r="Y26" s="2">
        <f>F26*Navires!$E$2</f>
        <v>22560</v>
      </c>
      <c r="Z26" s="2">
        <f>G26*Navires!$F$2</f>
        <v>22752</v>
      </c>
      <c r="AA26" s="2">
        <f>H26*Navires!$G$2</f>
        <v>22000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116187</v>
      </c>
      <c r="AM26" s="118" t="s">
        <v>41</v>
      </c>
      <c r="AN26" s="118">
        <f>C26*Navires!$B$6</f>
        <v>14260</v>
      </c>
      <c r="AO26" s="118">
        <f>D26*Navires!$C$6</f>
        <v>0</v>
      </c>
      <c r="AP26" s="118">
        <f>E26*Navires!$D$6</f>
        <v>0</v>
      </c>
      <c r="AQ26" s="118">
        <f>F26*Navires!$E$6</f>
        <v>14736</v>
      </c>
      <c r="AR26" s="118">
        <f>G26*Navires!$F$6</f>
        <v>8169.6</v>
      </c>
      <c r="AS26" s="118">
        <f>H26*Navires!$G$6</f>
        <v>7480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13393.679999999998</v>
      </c>
      <c r="BE26" s="118" t="s">
        <v>41</v>
      </c>
      <c r="BF26" s="118">
        <f>C26*Navires!$B$6</f>
        <v>14260</v>
      </c>
      <c r="BG26" s="118">
        <f>D26*Navires!$B$6</f>
        <v>0</v>
      </c>
      <c r="BH26" s="118">
        <f>E26*Navires!$B$6</f>
        <v>0</v>
      </c>
      <c r="BI26" s="118">
        <f>F26*Navires!$B$6</f>
        <v>6844.7999999999993</v>
      </c>
      <c r="BJ26" s="118">
        <f>G26*Navires!$B$6</f>
        <v>6844.7999999999993</v>
      </c>
      <c r="BK26" s="118">
        <f>H26*Navires!$B$6</f>
        <v>6274.4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58180.799999999996</v>
      </c>
    </row>
    <row r="27" spans="1:73" x14ac:dyDescent="0.25">
      <c r="A27" t="s">
        <v>54</v>
      </c>
      <c r="B27" s="2" t="s">
        <v>42</v>
      </c>
      <c r="C27" s="2">
        <v>13</v>
      </c>
      <c r="D27" s="2">
        <v>15</v>
      </c>
      <c r="E27" s="2">
        <v>0</v>
      </c>
      <c r="F27" s="2">
        <v>8</v>
      </c>
      <c r="G27" s="2">
        <v>9</v>
      </c>
      <c r="H27" s="2">
        <v>17</v>
      </c>
      <c r="I27" s="2"/>
      <c r="J27" s="2"/>
      <c r="K27" s="2"/>
      <c r="L27" s="2"/>
      <c r="M27" s="2"/>
      <c r="N27" s="2"/>
      <c r="O27" s="2"/>
      <c r="P27" s="2"/>
      <c r="Q27" s="32"/>
      <c r="R27" s="34">
        <f t="shared" si="6"/>
        <v>62</v>
      </c>
      <c r="S27" s="82">
        <f t="shared" si="7"/>
        <v>13.995485327313771</v>
      </c>
      <c r="U27" s="2" t="s">
        <v>42</v>
      </c>
      <c r="V27" s="2">
        <f>C27*Navires!$B$2</f>
        <v>25415</v>
      </c>
      <c r="W27" s="2">
        <f>D27*Navires!$C$2</f>
        <v>29325</v>
      </c>
      <c r="X27" s="2">
        <f>E27*Navires!$D$2</f>
        <v>0</v>
      </c>
      <c r="Y27" s="2">
        <f>F27*Navires!$E$2</f>
        <v>15040</v>
      </c>
      <c r="Z27" s="2">
        <f>G27*Navires!$F$2</f>
        <v>17064</v>
      </c>
      <c r="AA27" s="2">
        <f>H27*Navires!$G$2</f>
        <v>34000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120844</v>
      </c>
      <c r="AM27" s="118" t="s">
        <v>42</v>
      </c>
      <c r="AN27" s="118">
        <f>C27*Navires!$B$6</f>
        <v>7415.2</v>
      </c>
      <c r="AO27" s="118">
        <f>D27*Navires!$C$6</f>
        <v>8556</v>
      </c>
      <c r="AP27" s="118">
        <f>E27*Navires!$D$6</f>
        <v>0</v>
      </c>
      <c r="AQ27" s="118">
        <f>F27*Navires!$E$6</f>
        <v>9824</v>
      </c>
      <c r="AR27" s="118">
        <f>G27*Navires!$F$6</f>
        <v>6127.2000000000007</v>
      </c>
      <c r="AS27" s="118">
        <f>H27*Navires!$G$6</f>
        <v>11560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13044.72</v>
      </c>
      <c r="BE27" s="118" t="s">
        <v>42</v>
      </c>
      <c r="BF27" s="118">
        <f>C27*Navires!$B$6</f>
        <v>7415.2</v>
      </c>
      <c r="BG27" s="118">
        <f>D27*Navires!$B$6</f>
        <v>8556</v>
      </c>
      <c r="BH27" s="118">
        <f>E27*Navires!$B$6</f>
        <v>0</v>
      </c>
      <c r="BI27" s="118">
        <f>F27*Navires!$B$6</f>
        <v>4563.2</v>
      </c>
      <c r="BJ27" s="118">
        <f>G27*Navires!$B$6</f>
        <v>5133.5999999999995</v>
      </c>
      <c r="BK27" s="118">
        <f>H27*Navires!$B$6</f>
        <v>9696.7999999999993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60120.160000000003</v>
      </c>
    </row>
    <row r="28" spans="1:73" x14ac:dyDescent="0.25">
      <c r="A28" t="s">
        <v>55</v>
      </c>
      <c r="B28" s="2" t="s">
        <v>43</v>
      </c>
      <c r="C28" s="2">
        <v>14</v>
      </c>
      <c r="D28" s="2">
        <v>16</v>
      </c>
      <c r="E28" s="2">
        <v>0</v>
      </c>
      <c r="F28" s="2">
        <v>9</v>
      </c>
      <c r="G28" s="2">
        <v>9</v>
      </c>
      <c r="H28" s="2">
        <v>15</v>
      </c>
      <c r="I28" s="2"/>
      <c r="J28" s="2"/>
      <c r="K28" s="2"/>
      <c r="L28" s="2"/>
      <c r="M28" s="2"/>
      <c r="N28" s="2"/>
      <c r="O28" s="2"/>
      <c r="P28" s="2"/>
      <c r="Q28" s="32"/>
      <c r="R28" s="34">
        <f t="shared" si="6"/>
        <v>63</v>
      </c>
      <c r="S28" s="82">
        <f t="shared" si="7"/>
        <v>14.221218961625283</v>
      </c>
      <c r="U28" s="2" t="s">
        <v>43</v>
      </c>
      <c r="V28" s="2">
        <f>C28*Navires!$B$2</f>
        <v>27370</v>
      </c>
      <c r="W28" s="2">
        <f>D28*Navires!$C$2</f>
        <v>31280</v>
      </c>
      <c r="X28" s="2">
        <f>E28*Navires!$D$2</f>
        <v>0</v>
      </c>
      <c r="Y28" s="2">
        <f>F28*Navires!$E$2</f>
        <v>16920</v>
      </c>
      <c r="Z28" s="2">
        <f>G28*Navires!$F$2</f>
        <v>17064</v>
      </c>
      <c r="AA28" s="2">
        <f>H28*Navires!$G$2</f>
        <v>30000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122634</v>
      </c>
      <c r="AM28" s="118" t="s">
        <v>43</v>
      </c>
      <c r="AN28" s="118">
        <f>C28*Navires!$B$6</f>
        <v>7985.5999999999995</v>
      </c>
      <c r="AO28" s="118">
        <f>D28*Navires!$C$6</f>
        <v>9126.4</v>
      </c>
      <c r="AP28" s="118">
        <f>E28*Navires!$D$6</f>
        <v>0</v>
      </c>
      <c r="AQ28" s="118">
        <f>F28*Navires!$E$6</f>
        <v>11052</v>
      </c>
      <c r="AR28" s="118">
        <f>G28*Navires!$F$6</f>
        <v>6127.2000000000007</v>
      </c>
      <c r="AS28" s="118">
        <f>H28*Navires!$G$6</f>
        <v>10200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13347.359999999999</v>
      </c>
      <c r="BE28" s="118" t="s">
        <v>43</v>
      </c>
      <c r="BF28" s="118">
        <f>C28*Navires!$B$6</f>
        <v>7985.5999999999995</v>
      </c>
      <c r="BG28" s="118">
        <f>D28*Navires!$B$6</f>
        <v>9126.4</v>
      </c>
      <c r="BH28" s="118">
        <f>E28*Navires!$B$6</f>
        <v>0</v>
      </c>
      <c r="BI28" s="118">
        <f>F28*Navires!$B$6</f>
        <v>5133.5999999999995</v>
      </c>
      <c r="BJ28" s="118">
        <f>G28*Navires!$B$6</f>
        <v>5133.5999999999995</v>
      </c>
      <c r="BK28" s="118">
        <f>H28*Navires!$B$6</f>
        <v>8556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61089.84</v>
      </c>
    </row>
    <row r="29" spans="1:73" x14ac:dyDescent="0.25">
      <c r="A29" t="s">
        <v>56</v>
      </c>
      <c r="B29" s="2" t="s">
        <v>44</v>
      </c>
      <c r="C29" s="2">
        <v>5</v>
      </c>
      <c r="D29" s="2">
        <v>18</v>
      </c>
      <c r="E29" s="2">
        <v>0</v>
      </c>
      <c r="F29" s="2">
        <v>9</v>
      </c>
      <c r="G29" s="2">
        <v>8</v>
      </c>
      <c r="H29" s="2">
        <v>16</v>
      </c>
      <c r="I29" s="2"/>
      <c r="J29" s="2"/>
      <c r="K29" s="2"/>
      <c r="L29" s="2"/>
      <c r="M29" s="2"/>
      <c r="N29" s="2"/>
      <c r="O29" s="2"/>
      <c r="P29" s="2"/>
      <c r="Q29" s="32"/>
      <c r="R29" s="34">
        <f t="shared" si="6"/>
        <v>56</v>
      </c>
      <c r="S29" s="82">
        <f t="shared" si="7"/>
        <v>13.084112149532709</v>
      </c>
      <c r="U29" s="2" t="s">
        <v>44</v>
      </c>
      <c r="V29" s="2">
        <f>C29*Navires!$B$2</f>
        <v>9775</v>
      </c>
      <c r="W29" s="2">
        <f>D29*Navires!$C$2</f>
        <v>35190</v>
      </c>
      <c r="X29" s="2">
        <f>E29*Navires!$D$2</f>
        <v>0</v>
      </c>
      <c r="Y29" s="2">
        <f>F29*Navires!$E$2</f>
        <v>16920</v>
      </c>
      <c r="Z29" s="2">
        <f>G29*Navires!$F$2</f>
        <v>15168</v>
      </c>
      <c r="AA29" s="2">
        <f>H29*Navires!$G$2</f>
        <v>32000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109053</v>
      </c>
      <c r="AM29" s="118" t="s">
        <v>44</v>
      </c>
      <c r="AN29" s="118">
        <f>C29*Navires!$B$6</f>
        <v>2852</v>
      </c>
      <c r="AO29" s="118">
        <f>D29*Navires!$C$6</f>
        <v>10267.199999999999</v>
      </c>
      <c r="AP29" s="118">
        <f>E29*Navires!$D$6</f>
        <v>0</v>
      </c>
      <c r="AQ29" s="118">
        <f>F29*Navires!$E$6</f>
        <v>11052</v>
      </c>
      <c r="AR29" s="118">
        <f>G29*Navires!$F$6</f>
        <v>5446.4000000000005</v>
      </c>
      <c r="AS29" s="118">
        <f>H29*Navires!$G$6</f>
        <v>10880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12149.279999999999</v>
      </c>
      <c r="BE29" s="118" t="s">
        <v>44</v>
      </c>
      <c r="BF29" s="118">
        <f>C29*Navires!$B$6</f>
        <v>2852</v>
      </c>
      <c r="BG29" s="118">
        <f>D29*Navires!$B$6</f>
        <v>10267.199999999999</v>
      </c>
      <c r="BH29" s="118">
        <f>E29*Navires!$B$6</f>
        <v>0</v>
      </c>
      <c r="BI29" s="118">
        <f>F29*Navires!$B$6</f>
        <v>5133.5999999999995</v>
      </c>
      <c r="BJ29" s="118">
        <f>G29*Navires!$B$6</f>
        <v>4563.2</v>
      </c>
      <c r="BK29" s="118">
        <f>H29*Navires!$B$6</f>
        <v>9126.4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54302.080000000002</v>
      </c>
    </row>
    <row r="30" spans="1:73" x14ac:dyDescent="0.25">
      <c r="A30" t="s">
        <v>57</v>
      </c>
      <c r="B30" s="2" t="s">
        <v>45</v>
      </c>
      <c r="C30" s="2">
        <v>7</v>
      </c>
      <c r="D30" s="2">
        <v>13</v>
      </c>
      <c r="E30" s="2">
        <v>0</v>
      </c>
      <c r="F30" s="2">
        <v>1</v>
      </c>
      <c r="G30" s="2">
        <v>9</v>
      </c>
      <c r="H30" s="2">
        <v>11</v>
      </c>
      <c r="I30" s="2"/>
      <c r="J30" s="2"/>
      <c r="K30" s="2"/>
      <c r="L30" s="2"/>
      <c r="M30" s="2"/>
      <c r="N30" s="2"/>
      <c r="O30" s="2"/>
      <c r="P30" s="2"/>
      <c r="Q30" s="32"/>
      <c r="R30" s="34">
        <f t="shared" si="6"/>
        <v>41</v>
      </c>
      <c r="S30" s="82">
        <f t="shared" si="7"/>
        <v>9.255079006772009</v>
      </c>
      <c r="U30" s="2" t="s">
        <v>45</v>
      </c>
      <c r="V30" s="2">
        <f>C30*Navires!$B$2</f>
        <v>13685</v>
      </c>
      <c r="W30" s="2">
        <f>D30*Navires!$C$2</f>
        <v>25415</v>
      </c>
      <c r="X30" s="2">
        <f>E30*Navires!$D$2</f>
        <v>0</v>
      </c>
      <c r="Y30" s="2">
        <f>F30*Navires!$E$2</f>
        <v>1880</v>
      </c>
      <c r="Z30" s="2">
        <f>G30*Navires!$F$2</f>
        <v>17064</v>
      </c>
      <c r="AA30" s="2">
        <f>H30*Navires!$G$2</f>
        <v>22000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80044</v>
      </c>
      <c r="AM30" s="118" t="s">
        <v>45</v>
      </c>
      <c r="AN30" s="118">
        <f>C30*Navires!$B$6</f>
        <v>3992.7999999999997</v>
      </c>
      <c r="AO30" s="118">
        <f>D30*Navires!$C$6</f>
        <v>7415.2</v>
      </c>
      <c r="AP30" s="118">
        <f>E30*Navires!$D$6</f>
        <v>0</v>
      </c>
      <c r="AQ30" s="118">
        <f>F30*Navires!$E$6</f>
        <v>1228</v>
      </c>
      <c r="AR30" s="118">
        <f>G30*Navires!$F$6</f>
        <v>6127.2000000000007</v>
      </c>
      <c r="AS30" s="118">
        <f>H30*Navires!$G$6</f>
        <v>7480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13121.6</v>
      </c>
      <c r="BE30" s="118" t="s">
        <v>45</v>
      </c>
      <c r="BF30" s="118">
        <f>C30*Navires!$B$6</f>
        <v>3992.7999999999997</v>
      </c>
      <c r="BG30" s="118">
        <f>D30*Navires!$B$6</f>
        <v>7415.2</v>
      </c>
      <c r="BH30" s="118">
        <f>E30*Navires!$B$6</f>
        <v>0</v>
      </c>
      <c r="BI30" s="118">
        <f>F30*Navires!$B$6</f>
        <v>570.4</v>
      </c>
      <c r="BJ30" s="118">
        <f>G30*Navires!$B$6</f>
        <v>5133.5999999999995</v>
      </c>
      <c r="BK30" s="118">
        <f>H30*Navires!$B$6</f>
        <v>6274.4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39756.880000000005</v>
      </c>
    </row>
    <row r="31" spans="1:73" x14ac:dyDescent="0.25">
      <c r="A31" t="s">
        <v>58</v>
      </c>
      <c r="B31" s="2" t="s">
        <v>46</v>
      </c>
      <c r="C31" s="2">
        <v>15</v>
      </c>
      <c r="D31" s="2">
        <v>0</v>
      </c>
      <c r="E31" s="2">
        <v>0</v>
      </c>
      <c r="F31" s="2">
        <v>0</v>
      </c>
      <c r="G31" s="2">
        <v>3</v>
      </c>
      <c r="H31" s="2">
        <v>13</v>
      </c>
      <c r="I31" s="2"/>
      <c r="J31" s="2"/>
      <c r="K31" s="2"/>
      <c r="L31" s="2"/>
      <c r="M31" s="2"/>
      <c r="N31" s="2"/>
      <c r="O31" s="2"/>
      <c r="P31" s="2"/>
      <c r="Q31" s="32"/>
      <c r="R31" s="34">
        <f t="shared" si="6"/>
        <v>31</v>
      </c>
      <c r="S31" s="82">
        <f t="shared" si="7"/>
        <v>7.2429906542056068</v>
      </c>
      <c r="U31" s="2" t="s">
        <v>46</v>
      </c>
      <c r="V31" s="2">
        <f>C31*Navires!$B$2</f>
        <v>29325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5688</v>
      </c>
      <c r="AA31" s="2">
        <f>H31*Navires!$G$2</f>
        <v>26000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61013</v>
      </c>
      <c r="AM31" s="118" t="s">
        <v>46</v>
      </c>
      <c r="AN31" s="118">
        <f>C31*Navires!$B$6</f>
        <v>8556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2042.4</v>
      </c>
      <c r="AS31" s="118">
        <f>H31*Navires!$G$6</f>
        <v>8840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9719.2000000000007</v>
      </c>
      <c r="BE31" s="118" t="s">
        <v>46</v>
      </c>
      <c r="BF31" s="118">
        <f>C31*Navires!$B$6</f>
        <v>8556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1711.1999999999998</v>
      </c>
      <c r="BK31" s="118">
        <f>H31*Navires!$B$6</f>
        <v>7415.2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12377.68</v>
      </c>
    </row>
    <row r="32" spans="1:73" x14ac:dyDescent="0.25">
      <c r="A32" t="s">
        <v>59</v>
      </c>
      <c r="B32" s="2" t="s">
        <v>47</v>
      </c>
      <c r="C32" s="2">
        <v>9</v>
      </c>
      <c r="D32" s="2">
        <v>1</v>
      </c>
      <c r="E32" s="2">
        <v>8</v>
      </c>
      <c r="F32" s="2">
        <v>0</v>
      </c>
      <c r="G32" s="2">
        <v>11</v>
      </c>
      <c r="H32" s="2">
        <v>6</v>
      </c>
      <c r="I32" s="2"/>
      <c r="J32" s="2"/>
      <c r="K32" s="2"/>
      <c r="L32" s="2"/>
      <c r="M32" s="2"/>
      <c r="N32" s="2"/>
      <c r="O32" s="2"/>
      <c r="P32" s="2"/>
      <c r="Q32" s="32"/>
      <c r="R32" s="34">
        <f t="shared" si="6"/>
        <v>35</v>
      </c>
      <c r="S32" s="82">
        <f t="shared" si="7"/>
        <v>7.9006772009029351</v>
      </c>
      <c r="U32" s="2" t="s">
        <v>47</v>
      </c>
      <c r="V32" s="2">
        <f>C32*Navires!$B$2</f>
        <v>17595</v>
      </c>
      <c r="W32" s="2">
        <f>D32*Navires!$C$2</f>
        <v>1955</v>
      </c>
      <c r="X32" s="2">
        <f>E32*Navires!$D$2</f>
        <v>16848</v>
      </c>
      <c r="Y32" s="2">
        <f>F32*Navires!$E$2</f>
        <v>0</v>
      </c>
      <c r="Z32" s="2">
        <f>G32*Navires!$F$2</f>
        <v>20856</v>
      </c>
      <c r="AA32" s="2">
        <f>H32*Navires!$G$2</f>
        <v>12000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69254</v>
      </c>
      <c r="AM32" s="118" t="s">
        <v>47</v>
      </c>
      <c r="AN32" s="118">
        <f>C32*Navires!$B$6</f>
        <v>5133.5999999999995</v>
      </c>
      <c r="AO32" s="118">
        <f>D32*Navires!$C$6</f>
        <v>570.4</v>
      </c>
      <c r="AP32" s="118">
        <f>E32*Navires!$D$6</f>
        <v>6400</v>
      </c>
      <c r="AQ32" s="118">
        <f>F32*Navires!$E$6</f>
        <v>0</v>
      </c>
      <c r="AR32" s="118">
        <f>G32*Navires!$F$6</f>
        <v>7488.8000000000011</v>
      </c>
      <c r="AS32" s="118">
        <f>H32*Navires!$G$6</f>
        <v>4080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11836.400000000001</v>
      </c>
      <c r="BE32" s="118" t="s">
        <v>47</v>
      </c>
      <c r="BF32" s="118">
        <f>C32*Navires!$B$6</f>
        <v>5133.5999999999995</v>
      </c>
      <c r="BG32" s="118">
        <f>D32*Navires!$B$6</f>
        <v>570.4</v>
      </c>
      <c r="BH32" s="118">
        <f>E32*Navires!$B$6</f>
        <v>4563.2</v>
      </c>
      <c r="BI32" s="118">
        <f>F32*Navires!$B$6</f>
        <v>0</v>
      </c>
      <c r="BJ32" s="118">
        <f>G32*Navires!$B$6</f>
        <v>6274.4</v>
      </c>
      <c r="BK32" s="118">
        <f>H32*Navires!$B$6</f>
        <v>3422.3999999999996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13974.8</v>
      </c>
    </row>
    <row r="33" spans="1:73" x14ac:dyDescent="0.25">
      <c r="A33" s="30"/>
      <c r="B33" s="34" t="s">
        <v>60</v>
      </c>
      <c r="C33" s="34">
        <f>SUM(C21:C32)</f>
        <v>94</v>
      </c>
      <c r="D33" s="34">
        <f t="shared" ref="D33:E33" si="8">SUM(D21:D32)</f>
        <v>90</v>
      </c>
      <c r="E33" s="34">
        <f t="shared" si="8"/>
        <v>74</v>
      </c>
      <c r="F33" s="34">
        <f>SUM(F21:F32)</f>
        <v>68</v>
      </c>
      <c r="G33" s="34">
        <f>SUM(G21:G32)</f>
        <v>83</v>
      </c>
      <c r="H33" s="34">
        <f t="shared" ref="H33:Q33" si="9">SUM(H21:H32)</f>
        <v>121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530</v>
      </c>
      <c r="S33" s="82">
        <f t="shared" si="7"/>
        <v>10.166890466142336</v>
      </c>
      <c r="U33" s="34" t="s">
        <v>60</v>
      </c>
      <c r="V33" s="34">
        <f>SUM(V21:V32)</f>
        <v>183770</v>
      </c>
      <c r="W33" s="34">
        <f t="shared" ref="W33:AJ33" si="10">SUM(W21:W32)</f>
        <v>175950</v>
      </c>
      <c r="X33" s="34">
        <f t="shared" si="10"/>
        <v>155844</v>
      </c>
      <c r="Y33" s="34">
        <f t="shared" si="10"/>
        <v>127840</v>
      </c>
      <c r="Z33" s="34">
        <f t="shared" si="10"/>
        <v>157368</v>
      </c>
      <c r="AA33" s="34">
        <f t="shared" si="10"/>
        <v>242000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53617.600000000006</v>
      </c>
      <c r="AO33" s="34">
        <f t="shared" ref="AO33:BB33" si="11">SUM(AO21:AO32)</f>
        <v>51335.999999999993</v>
      </c>
      <c r="AP33" s="34">
        <f t="shared" si="11"/>
        <v>59200</v>
      </c>
      <c r="AQ33" s="34">
        <f t="shared" si="11"/>
        <v>83504</v>
      </c>
      <c r="AR33" s="34">
        <f t="shared" si="11"/>
        <v>56506.400000000016</v>
      </c>
      <c r="AS33" s="34">
        <f t="shared" si="11"/>
        <v>82280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53617.599999999999</v>
      </c>
      <c r="BG33" s="118">
        <f>D33*Navires!$B$6</f>
        <v>51336</v>
      </c>
      <c r="BH33" s="118">
        <f>E33*Navires!$B$6</f>
        <v>42209.599999999999</v>
      </c>
      <c r="BI33" s="118">
        <f>F33*Navires!$B$6</f>
        <v>38787.199999999997</v>
      </c>
      <c r="BJ33" s="118">
        <f>G33*Navires!$B$6</f>
        <v>47343.199999999997</v>
      </c>
      <c r="BK33" s="118">
        <f>H33*Navires!$B$6</f>
        <v>69018.399999999994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zoomScale="115" zoomScaleNormal="115" workbookViewId="0">
      <selection activeCell="B2" sqref="B2"/>
    </sheetView>
  </sheetViews>
  <sheetFormatPr baseColWidth="10" defaultRowHeight="15" x14ac:dyDescent="0.25"/>
  <cols>
    <col min="1" max="1" width="35.5703125" customWidth="1"/>
    <col min="2" max="2" width="15.42578125" customWidth="1"/>
  </cols>
  <sheetData>
    <row r="2" spans="1:3" x14ac:dyDescent="0.25">
      <c r="A2" s="171" t="s">
        <v>266</v>
      </c>
      <c r="B2" s="175">
        <v>0.8</v>
      </c>
    </row>
    <row r="4" spans="1:3" x14ac:dyDescent="0.25">
      <c r="A4" s="171" t="s">
        <v>134</v>
      </c>
      <c r="B4" s="171">
        <v>3</v>
      </c>
      <c r="C4" s="117"/>
    </row>
    <row r="5" spans="1:3" ht="15.75" thickBot="1" x14ac:dyDescent="0.3"/>
    <row r="6" spans="1:3" x14ac:dyDescent="0.25">
      <c r="A6" s="172" t="s">
        <v>133</v>
      </c>
      <c r="B6" s="173"/>
    </row>
    <row r="7" spans="1:3" x14ac:dyDescent="0.25">
      <c r="A7" s="174" t="s">
        <v>36</v>
      </c>
      <c r="B7" s="175">
        <v>1</v>
      </c>
    </row>
    <row r="8" spans="1:3" x14ac:dyDescent="0.25">
      <c r="A8" s="174" t="s">
        <v>37</v>
      </c>
      <c r="B8" s="175">
        <v>1</v>
      </c>
    </row>
    <row r="9" spans="1:3" x14ac:dyDescent="0.25">
      <c r="A9" s="174" t="s">
        <v>38</v>
      </c>
      <c r="B9" s="175">
        <v>1</v>
      </c>
    </row>
    <row r="10" spans="1:3" x14ac:dyDescent="0.25">
      <c r="A10" s="174" t="s">
        <v>39</v>
      </c>
      <c r="B10" s="175">
        <v>1</v>
      </c>
    </row>
    <row r="11" spans="1:3" x14ac:dyDescent="0.25">
      <c r="A11" s="174" t="s">
        <v>40</v>
      </c>
      <c r="B11" s="175">
        <v>1</v>
      </c>
    </row>
    <row r="12" spans="1:3" x14ac:dyDescent="0.25">
      <c r="A12" s="174" t="s">
        <v>41</v>
      </c>
      <c r="B12" s="175">
        <v>1</v>
      </c>
    </row>
    <row r="13" spans="1:3" x14ac:dyDescent="0.25">
      <c r="A13" s="174" t="s">
        <v>42</v>
      </c>
      <c r="B13" s="175">
        <v>1</v>
      </c>
    </row>
    <row r="14" spans="1:3" x14ac:dyDescent="0.25">
      <c r="A14" s="174" t="s">
        <v>43</v>
      </c>
      <c r="B14" s="175">
        <v>1</v>
      </c>
    </row>
    <row r="15" spans="1:3" x14ac:dyDescent="0.25">
      <c r="A15" s="174" t="s">
        <v>44</v>
      </c>
      <c r="B15" s="175">
        <v>1</v>
      </c>
    </row>
    <row r="16" spans="1:3" x14ac:dyDescent="0.25">
      <c r="A16" s="174" t="s">
        <v>45</v>
      </c>
      <c r="B16" s="175">
        <v>1</v>
      </c>
    </row>
    <row r="17" spans="1:3" x14ac:dyDescent="0.25">
      <c r="A17" s="174" t="s">
        <v>46</v>
      </c>
      <c r="B17" s="175">
        <v>1</v>
      </c>
    </row>
    <row r="18" spans="1:3" ht="15.75" thickBot="1" x14ac:dyDescent="0.3">
      <c r="A18" s="176" t="s">
        <v>47</v>
      </c>
      <c r="B18" s="175">
        <v>1</v>
      </c>
    </row>
    <row r="19" spans="1:3" ht="15.75" thickBot="1" x14ac:dyDescent="0.3"/>
    <row r="20" spans="1:3" x14ac:dyDescent="0.25">
      <c r="A20" s="172" t="s">
        <v>161</v>
      </c>
    </row>
    <row r="21" spans="1:3" x14ac:dyDescent="0.25">
      <c r="A21" s="183" t="s">
        <v>162</v>
      </c>
    </row>
    <row r="22" spans="1:3" x14ac:dyDescent="0.25">
      <c r="A22" s="183" t="s">
        <v>163</v>
      </c>
      <c r="B22" s="184">
        <v>1.7</v>
      </c>
    </row>
    <row r="23" spans="1:3" x14ac:dyDescent="0.25">
      <c r="A23" s="183" t="s">
        <v>221</v>
      </c>
      <c r="B23" s="184">
        <v>0.7</v>
      </c>
    </row>
    <row r="24" spans="1:3" x14ac:dyDescent="0.25">
      <c r="A24" s="117"/>
      <c r="B24" s="117"/>
    </row>
    <row r="25" spans="1:3" x14ac:dyDescent="0.25">
      <c r="A25" s="183" t="s">
        <v>164</v>
      </c>
      <c r="B25" s="117"/>
    </row>
    <row r="26" spans="1:3" x14ac:dyDescent="0.25">
      <c r="A26" s="183" t="s">
        <v>163</v>
      </c>
      <c r="B26" s="184">
        <v>0.3</v>
      </c>
      <c r="C26" s="117"/>
    </row>
    <row r="27" spans="1:3" x14ac:dyDescent="0.25">
      <c r="A27" s="183" t="s">
        <v>221</v>
      </c>
      <c r="B27" s="184">
        <v>0.5</v>
      </c>
      <c r="C27" s="117"/>
    </row>
    <row r="28" spans="1:3" x14ac:dyDescent="0.25">
      <c r="A28" s="117"/>
      <c r="B28" s="117"/>
    </row>
    <row r="29" spans="1:3" x14ac:dyDescent="0.25">
      <c r="A29" s="117"/>
      <c r="B29" s="117"/>
    </row>
    <row r="30" spans="1:3" x14ac:dyDescent="0.25">
      <c r="A30" s="117"/>
      <c r="B30" s="117"/>
    </row>
    <row r="31" spans="1:3" x14ac:dyDescent="0.25">
      <c r="A31" s="117"/>
      <c r="B31" s="11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F4" workbookViewId="0">
      <selection activeCell="BU4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3</v>
      </c>
      <c r="D4" s="2">
        <v>13</v>
      </c>
      <c r="E4" s="2">
        <v>0</v>
      </c>
      <c r="F4" s="2">
        <v>0</v>
      </c>
      <c r="G4" s="2">
        <v>10</v>
      </c>
      <c r="H4" s="2">
        <v>6</v>
      </c>
      <c r="I4" s="2"/>
      <c r="J4" s="2"/>
      <c r="K4" s="2"/>
      <c r="L4" s="2"/>
      <c r="M4" s="2"/>
      <c r="N4" s="2"/>
      <c r="O4" s="2"/>
      <c r="P4" s="2"/>
      <c r="Q4" s="32"/>
      <c r="R4" s="34">
        <f>SUM(C4:Q4)</f>
        <v>32</v>
      </c>
      <c r="S4" s="82">
        <f>R4/R36</f>
        <v>7.2234762979683982</v>
      </c>
      <c r="U4" s="2" t="s">
        <v>36</v>
      </c>
      <c r="V4" s="2">
        <f>C4*Navires!$B$2</f>
        <v>5865</v>
      </c>
      <c r="W4" s="2">
        <f>D4*Navires!$C$2</f>
        <v>25415</v>
      </c>
      <c r="X4" s="2">
        <f>E4*Navires!$D$2</f>
        <v>0</v>
      </c>
      <c r="Y4" s="2">
        <f>F4*Navires!$E$2</f>
        <v>0</v>
      </c>
      <c r="Z4" s="2">
        <f>G4*Navires!$F$2</f>
        <v>18960</v>
      </c>
      <c r="AA4" s="2">
        <f>H4*Navires!$G$2</f>
        <v>12000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62240</v>
      </c>
      <c r="AM4" s="118" t="s">
        <v>36</v>
      </c>
      <c r="AN4" s="118">
        <f>C4*Navires!$B$6</f>
        <v>1711.1999999999998</v>
      </c>
      <c r="AO4" s="118">
        <f>D4*Navires!$C$6</f>
        <v>7415.2</v>
      </c>
      <c r="AP4" s="118">
        <f>E4*Navires!$D$6</f>
        <v>0</v>
      </c>
      <c r="AQ4" s="118">
        <f>F4*Navires!$E$6</f>
        <v>0</v>
      </c>
      <c r="AR4" s="118">
        <f>G4*Navires!$F$6</f>
        <v>6808.0000000000009</v>
      </c>
      <c r="AS4" s="118">
        <f>H4*Navires!$G$6</f>
        <v>4080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10007.200000000001</v>
      </c>
      <c r="BE4" s="118" t="s">
        <v>36</v>
      </c>
      <c r="BF4" s="118">
        <f>C4*Navires!$B$6</f>
        <v>1711.1999999999998</v>
      </c>
      <c r="BG4" s="118">
        <f>D4*Navires!$B$6</f>
        <v>7415.2</v>
      </c>
      <c r="BH4" s="118">
        <f>E4*Navires!$B$6</f>
        <v>0</v>
      </c>
      <c r="BI4" s="118">
        <f>F4*Navires!$B$6</f>
        <v>0</v>
      </c>
      <c r="BJ4" s="118">
        <f>G4*Navires!$B$6</f>
        <v>5704</v>
      </c>
      <c r="BK4" s="118">
        <f>H4*Navires!$B$6</f>
        <v>3422.3999999999996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12776.96</v>
      </c>
    </row>
    <row r="5" spans="1:73" x14ac:dyDescent="0.25">
      <c r="A5" t="s">
        <v>49</v>
      </c>
      <c r="B5" s="2" t="s">
        <v>37</v>
      </c>
      <c r="C5" s="2">
        <v>5</v>
      </c>
      <c r="D5" s="2">
        <v>5</v>
      </c>
      <c r="E5">
        <v>0</v>
      </c>
      <c r="F5" s="2">
        <v>9</v>
      </c>
      <c r="G5" s="2">
        <v>7</v>
      </c>
      <c r="H5" s="2">
        <v>3</v>
      </c>
      <c r="I5" s="2"/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29</v>
      </c>
      <c r="S5" s="82">
        <f t="shared" ref="S5:S16" si="1">R5/R37</f>
        <v>7.25</v>
      </c>
      <c r="U5" s="2" t="s">
        <v>37</v>
      </c>
      <c r="V5" s="2">
        <f>C5*Navires!$B$2</f>
        <v>9775</v>
      </c>
      <c r="W5" s="2">
        <f>D5*Navires!$C$2</f>
        <v>9775</v>
      </c>
      <c r="X5" s="2">
        <f>E5*Navires!$D$2</f>
        <v>0</v>
      </c>
      <c r="Y5" s="2">
        <f>F5*Navires!$E$2</f>
        <v>16920</v>
      </c>
      <c r="Z5" s="2">
        <f>G5*Navires!$F$2</f>
        <v>13272</v>
      </c>
      <c r="AA5" s="2">
        <f>H5*Navires!$G$2</f>
        <v>6000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55742</v>
      </c>
      <c r="AM5" s="118" t="s">
        <v>37</v>
      </c>
      <c r="AN5" s="118">
        <f>C5*Navires!$B$6</f>
        <v>2852</v>
      </c>
      <c r="AO5" s="118">
        <f>D5*Navires!$C$6</f>
        <v>2852</v>
      </c>
      <c r="AP5" s="118">
        <f>E5*Navires!$D$6</f>
        <v>0</v>
      </c>
      <c r="AQ5" s="118">
        <f>F5*Navires!$E$6</f>
        <v>11052</v>
      </c>
      <c r="AR5" s="118">
        <f>G5*Navires!$F$6</f>
        <v>4765.6000000000004</v>
      </c>
      <c r="AS5" s="118">
        <f>H5*Navires!$G$6</f>
        <v>2040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11780.8</v>
      </c>
      <c r="BE5" s="118" t="s">
        <v>37</v>
      </c>
      <c r="BF5" s="118">
        <f>C5*Navires!$B$6</f>
        <v>2852</v>
      </c>
      <c r="BG5" s="118">
        <f>D5*Navires!$B$6</f>
        <v>2852</v>
      </c>
      <c r="BH5" s="118">
        <f>E5*Navires!$B$6</f>
        <v>0</v>
      </c>
      <c r="BI5" s="118">
        <f>F5*Navires!$B$6</f>
        <v>5133.5999999999995</v>
      </c>
      <c r="BJ5" s="118">
        <f>G5*Navires!$B$6</f>
        <v>3992.7999999999997</v>
      </c>
      <c r="BK5" s="118">
        <f>H5*Navires!$B$6</f>
        <v>1711.1999999999998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11579.119999999999</v>
      </c>
    </row>
    <row r="6" spans="1:73" x14ac:dyDescent="0.25">
      <c r="A6" t="s">
        <v>50</v>
      </c>
      <c r="B6" s="2" t="s">
        <v>38</v>
      </c>
      <c r="C6" s="2">
        <v>9</v>
      </c>
      <c r="D6" s="2">
        <v>4</v>
      </c>
      <c r="E6" s="2">
        <v>0</v>
      </c>
      <c r="F6" s="2">
        <v>13</v>
      </c>
      <c r="G6" s="2">
        <v>3</v>
      </c>
      <c r="H6" s="2">
        <v>3</v>
      </c>
      <c r="I6" s="2"/>
      <c r="J6" s="2"/>
      <c r="K6" s="2"/>
      <c r="L6" s="2"/>
      <c r="M6" s="2"/>
      <c r="N6" s="2"/>
      <c r="O6" s="2"/>
      <c r="P6" s="2"/>
      <c r="Q6" s="32"/>
      <c r="R6" s="34">
        <f t="shared" si="0"/>
        <v>32</v>
      </c>
      <c r="S6" s="82">
        <f t="shared" si="1"/>
        <v>7.2234762979683982</v>
      </c>
      <c r="U6" s="2" t="s">
        <v>38</v>
      </c>
      <c r="V6" s="2">
        <f>C6*Navires!$B$2</f>
        <v>17595</v>
      </c>
      <c r="W6" s="2">
        <f>D6*Navires!$C$2</f>
        <v>7820</v>
      </c>
      <c r="X6" s="2">
        <f>E6*Navires!$D$2</f>
        <v>0</v>
      </c>
      <c r="Y6" s="2">
        <f>F6*Navires!$E$2</f>
        <v>24440</v>
      </c>
      <c r="Z6" s="2">
        <f>G6*Navires!$F$2</f>
        <v>5688</v>
      </c>
      <c r="AA6" s="2">
        <f>H6*Navires!$G$2</f>
        <v>6000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61543</v>
      </c>
      <c r="AM6" s="118" t="s">
        <v>38</v>
      </c>
      <c r="AN6" s="118">
        <f>C6*Navires!$B$6</f>
        <v>5133.5999999999995</v>
      </c>
      <c r="AO6" s="118">
        <f>D6*Navires!$C$6</f>
        <v>2281.6</v>
      </c>
      <c r="AP6" s="118">
        <f>E6*Navires!$D$6</f>
        <v>0</v>
      </c>
      <c r="AQ6" s="118">
        <f>F6*Navires!$E$6</f>
        <v>15964</v>
      </c>
      <c r="AR6" s="118">
        <f>G6*Navires!$F$6</f>
        <v>2042.4</v>
      </c>
      <c r="AS6" s="118">
        <f>H6*Navires!$G$6</f>
        <v>2040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13730.8</v>
      </c>
      <c r="BE6" s="118" t="s">
        <v>38</v>
      </c>
      <c r="BF6" s="118">
        <f>C6*Navires!$B$6</f>
        <v>5133.5999999999995</v>
      </c>
      <c r="BG6" s="118">
        <f>D6*Navires!$B$6</f>
        <v>2281.6</v>
      </c>
      <c r="BH6" s="118">
        <f>E6*Navires!$B$6</f>
        <v>0</v>
      </c>
      <c r="BI6" s="118">
        <f>F6*Navires!$B$6</f>
        <v>7415.2</v>
      </c>
      <c r="BJ6" s="118">
        <f>G6*Navires!$B$6</f>
        <v>1711.1999999999998</v>
      </c>
      <c r="BK6" s="118">
        <f>H6*Navires!$B$6</f>
        <v>1711.1999999999998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12776.96</v>
      </c>
    </row>
    <row r="7" spans="1:73" x14ac:dyDescent="0.25">
      <c r="A7" t="s">
        <v>51</v>
      </c>
      <c r="B7" s="2" t="s">
        <v>39</v>
      </c>
      <c r="C7" s="2">
        <v>0</v>
      </c>
      <c r="D7" s="2">
        <v>3</v>
      </c>
      <c r="E7" s="2">
        <v>2</v>
      </c>
      <c r="F7" s="2">
        <v>9</v>
      </c>
      <c r="G7" s="2">
        <v>9</v>
      </c>
      <c r="H7" s="2">
        <v>8</v>
      </c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31</v>
      </c>
      <c r="S7" s="82">
        <f t="shared" si="1"/>
        <v>7.2429906542056068</v>
      </c>
      <c r="U7" s="2" t="s">
        <v>39</v>
      </c>
      <c r="V7" s="2">
        <f>C7*Navires!$B$2</f>
        <v>0</v>
      </c>
      <c r="W7" s="2">
        <f>D7*Navires!$C$2</f>
        <v>5865</v>
      </c>
      <c r="X7" s="2">
        <f>E7*Navires!$D$2</f>
        <v>4212</v>
      </c>
      <c r="Y7" s="2">
        <f>F7*Navires!$E$2</f>
        <v>16920</v>
      </c>
      <c r="Z7" s="2">
        <f>G7*Navires!$F$2</f>
        <v>17064</v>
      </c>
      <c r="AA7" s="2">
        <f>H7*Navires!$G$2</f>
        <v>16000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60061</v>
      </c>
      <c r="AM7" s="118" t="s">
        <v>39</v>
      </c>
      <c r="AN7" s="118">
        <f>C7*Navires!$B$6</f>
        <v>0</v>
      </c>
      <c r="AO7" s="118">
        <f>D7*Navires!$C$6</f>
        <v>1711.1999999999998</v>
      </c>
      <c r="AP7" s="118">
        <f>E7*Navires!$D$6</f>
        <v>1600</v>
      </c>
      <c r="AQ7" s="118">
        <f>F7*Navires!$E$6</f>
        <v>11052</v>
      </c>
      <c r="AR7" s="118">
        <f>G7*Navires!$F$6</f>
        <v>6127.2000000000007</v>
      </c>
      <c r="AS7" s="118">
        <f>H7*Navires!$G$6</f>
        <v>5440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12965.2</v>
      </c>
      <c r="BE7" s="118" t="s">
        <v>39</v>
      </c>
      <c r="BF7" s="118">
        <f>C7*Navires!$B$6</f>
        <v>0</v>
      </c>
      <c r="BG7" s="118">
        <f>D7*Navires!$B$6</f>
        <v>1711.1999999999998</v>
      </c>
      <c r="BH7" s="118">
        <f>E7*Navires!$B$6</f>
        <v>1140.8</v>
      </c>
      <c r="BI7" s="118">
        <f>F7*Navires!$B$6</f>
        <v>5133.5999999999995</v>
      </c>
      <c r="BJ7" s="118">
        <f>G7*Navires!$B$6</f>
        <v>5133.5999999999995</v>
      </c>
      <c r="BK7" s="118">
        <f>H7*Navires!$B$6</f>
        <v>4563.2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30060.079999999994</v>
      </c>
    </row>
    <row r="8" spans="1:73" x14ac:dyDescent="0.25">
      <c r="A8" t="s">
        <v>52</v>
      </c>
      <c r="B8" s="2" t="s">
        <v>40</v>
      </c>
      <c r="C8" s="2">
        <v>1</v>
      </c>
      <c r="D8" s="2">
        <v>3</v>
      </c>
      <c r="E8" s="2">
        <v>1</v>
      </c>
      <c r="F8" s="2">
        <v>5</v>
      </c>
      <c r="G8" s="2">
        <v>11</v>
      </c>
      <c r="H8" s="2">
        <v>13</v>
      </c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34</v>
      </c>
      <c r="S8" s="82">
        <f t="shared" si="1"/>
        <v>7.6749435665914225</v>
      </c>
      <c r="U8" s="2" t="s">
        <v>40</v>
      </c>
      <c r="V8" s="2">
        <f>C8*Navires!$B$2</f>
        <v>1955</v>
      </c>
      <c r="W8" s="2">
        <f>D8*Navires!$C$2</f>
        <v>5865</v>
      </c>
      <c r="X8" s="2">
        <f>E8*Navires!$D$2</f>
        <v>2106</v>
      </c>
      <c r="Y8" s="2">
        <f>F8*Navires!$E$2</f>
        <v>9400</v>
      </c>
      <c r="Z8" s="2">
        <f>G8*Navires!$F$2</f>
        <v>20856</v>
      </c>
      <c r="AA8" s="2">
        <f>H8*Navires!$G$2</f>
        <v>26000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66182</v>
      </c>
      <c r="AM8" s="118" t="s">
        <v>40</v>
      </c>
      <c r="AN8" s="118">
        <f>C8*Navires!$B$6</f>
        <v>570.4</v>
      </c>
      <c r="AO8" s="118">
        <f>D8*Navires!$C$6</f>
        <v>1711.1999999999998</v>
      </c>
      <c r="AP8" s="118">
        <f>E8*Navires!$D$6</f>
        <v>800</v>
      </c>
      <c r="AQ8" s="118">
        <f>F8*Navires!$E$6</f>
        <v>6140</v>
      </c>
      <c r="AR8" s="118">
        <f>G8*Navires!$F$6</f>
        <v>7488.8000000000011</v>
      </c>
      <c r="AS8" s="118">
        <f>H8*Navires!$G$6</f>
        <v>8840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7665.12</v>
      </c>
      <c r="BE8" s="118" t="s">
        <v>40</v>
      </c>
      <c r="BF8" s="118">
        <f>C8*Navires!$B$6</f>
        <v>570.4</v>
      </c>
      <c r="BG8" s="118">
        <f>D8*Navires!$B$6</f>
        <v>1711.1999999999998</v>
      </c>
      <c r="BH8" s="118">
        <f>E8*Navires!$B$6</f>
        <v>570.4</v>
      </c>
      <c r="BI8" s="118">
        <f>F8*Navires!$B$6</f>
        <v>2852</v>
      </c>
      <c r="BJ8" s="118">
        <f>G8*Navires!$B$6</f>
        <v>6274.4</v>
      </c>
      <c r="BK8" s="118">
        <f>H8*Navires!$B$6</f>
        <v>7415.2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32969.119999999995</v>
      </c>
    </row>
    <row r="9" spans="1:73" x14ac:dyDescent="0.25">
      <c r="A9" t="s">
        <v>53</v>
      </c>
      <c r="B9" s="2" t="s">
        <v>41</v>
      </c>
      <c r="C9" s="2">
        <v>4</v>
      </c>
      <c r="D9" s="2">
        <v>0</v>
      </c>
      <c r="E9" s="2">
        <v>0</v>
      </c>
      <c r="F9" s="2">
        <v>10</v>
      </c>
      <c r="G9" s="2">
        <v>8</v>
      </c>
      <c r="H9" s="2">
        <v>8</v>
      </c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30</v>
      </c>
      <c r="S9" s="82">
        <f t="shared" si="1"/>
        <v>7.009345794392523</v>
      </c>
      <c r="U9" s="2" t="s">
        <v>41</v>
      </c>
      <c r="V9" s="2">
        <f>C9*Navires!$B$2</f>
        <v>7820</v>
      </c>
      <c r="W9" s="2">
        <f>D9*Navires!$C$2</f>
        <v>0</v>
      </c>
      <c r="X9" s="2">
        <f>E9*Navires!$D$2</f>
        <v>0</v>
      </c>
      <c r="Y9" s="2">
        <f>F9*Navires!$E$2</f>
        <v>18800</v>
      </c>
      <c r="Z9" s="2">
        <f>G9*Navires!$F$2</f>
        <v>15168</v>
      </c>
      <c r="AA9" s="2">
        <f>H9*Navires!$G$2</f>
        <v>16000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57788</v>
      </c>
      <c r="AM9" s="118" t="s">
        <v>41</v>
      </c>
      <c r="AN9" s="118">
        <f>C9*Navires!$B$6</f>
        <v>2281.6</v>
      </c>
      <c r="AO9" s="118">
        <f>D9*Navires!$C$6</f>
        <v>0</v>
      </c>
      <c r="AP9" s="118">
        <f>E9*Navires!$D$6</f>
        <v>0</v>
      </c>
      <c r="AQ9" s="118">
        <f>F9*Navires!$E$6</f>
        <v>12280</v>
      </c>
      <c r="AR9" s="118">
        <f>G9*Navires!$F$6</f>
        <v>5446.4000000000005</v>
      </c>
      <c r="AS9" s="118">
        <f>H9*Navires!$G$6</f>
        <v>5440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7634.4</v>
      </c>
      <c r="BE9" s="118" t="s">
        <v>41</v>
      </c>
      <c r="BF9" s="118">
        <f>C9*Navires!$B$6</f>
        <v>2281.6</v>
      </c>
      <c r="BG9" s="118">
        <f>D9*Navires!$B$6</f>
        <v>0</v>
      </c>
      <c r="BH9" s="118">
        <f>E9*Navires!$B$6</f>
        <v>0</v>
      </c>
      <c r="BI9" s="118">
        <f>F9*Navires!$B$6</f>
        <v>5704</v>
      </c>
      <c r="BJ9" s="118">
        <f>G9*Navires!$B$6</f>
        <v>4563.2</v>
      </c>
      <c r="BK9" s="118">
        <f>H9*Navires!$B$6</f>
        <v>4563.2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29090.399999999998</v>
      </c>
    </row>
    <row r="10" spans="1:73" x14ac:dyDescent="0.25">
      <c r="A10" t="s">
        <v>54</v>
      </c>
      <c r="B10" s="2" t="s">
        <v>42</v>
      </c>
      <c r="C10" s="2">
        <v>2</v>
      </c>
      <c r="D10" s="2">
        <v>2</v>
      </c>
      <c r="E10" s="2">
        <v>0</v>
      </c>
      <c r="F10" s="2">
        <v>11</v>
      </c>
      <c r="G10" s="2">
        <v>12</v>
      </c>
      <c r="H10" s="2">
        <v>4</v>
      </c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31</v>
      </c>
      <c r="S10" s="82">
        <f t="shared" si="1"/>
        <v>6.9977426636568856</v>
      </c>
      <c r="U10" s="2" t="s">
        <v>42</v>
      </c>
      <c r="V10" s="2">
        <f>C10*Navires!$B$2</f>
        <v>3910</v>
      </c>
      <c r="W10" s="2">
        <f>D10*Navires!$C$2</f>
        <v>3910</v>
      </c>
      <c r="X10" s="2">
        <f>E10*Navires!$D$2</f>
        <v>0</v>
      </c>
      <c r="Y10" s="2">
        <f>F10*Navires!$E$2</f>
        <v>20680</v>
      </c>
      <c r="Z10" s="2">
        <f>G10*Navires!$F$2</f>
        <v>22752</v>
      </c>
      <c r="AA10" s="2">
        <f>H10*Navires!$G$2</f>
        <v>8000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59252</v>
      </c>
      <c r="AM10" s="118" t="s">
        <v>42</v>
      </c>
      <c r="AN10" s="118">
        <f>C10*Navires!$B$6</f>
        <v>1140.8</v>
      </c>
      <c r="AO10" s="118">
        <f>D10*Navires!$C$6</f>
        <v>1140.8</v>
      </c>
      <c r="AP10" s="118">
        <f>E10*Navires!$D$6</f>
        <v>0</v>
      </c>
      <c r="AQ10" s="118">
        <f>F10*Navires!$E$6</f>
        <v>13508</v>
      </c>
      <c r="AR10" s="118">
        <f>G10*Navires!$F$6</f>
        <v>8169.6</v>
      </c>
      <c r="AS10" s="118">
        <f>H10*Navires!$G$6</f>
        <v>2720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8003.76</v>
      </c>
      <c r="BE10" s="118" t="s">
        <v>42</v>
      </c>
      <c r="BF10" s="118">
        <f>C10*Navires!$B$6</f>
        <v>1140.8</v>
      </c>
      <c r="BG10" s="118">
        <f>D10*Navires!$B$6</f>
        <v>1140.8</v>
      </c>
      <c r="BH10" s="118">
        <f>E10*Navires!$B$6</f>
        <v>0</v>
      </c>
      <c r="BI10" s="118">
        <f>F10*Navires!$B$6</f>
        <v>6274.4</v>
      </c>
      <c r="BJ10" s="118">
        <f>G10*Navires!$B$6</f>
        <v>6844.7999999999993</v>
      </c>
      <c r="BK10" s="118">
        <f>H10*Navires!$B$6</f>
        <v>2281.6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30060.079999999994</v>
      </c>
    </row>
    <row r="11" spans="1:73" x14ac:dyDescent="0.25">
      <c r="A11" t="s">
        <v>55</v>
      </c>
      <c r="B11" s="2" t="s">
        <v>43</v>
      </c>
      <c r="C11" s="2">
        <v>1</v>
      </c>
      <c r="D11" s="2">
        <v>3</v>
      </c>
      <c r="E11" s="2">
        <v>0</v>
      </c>
      <c r="F11" s="2">
        <v>11</v>
      </c>
      <c r="G11" s="2">
        <v>11</v>
      </c>
      <c r="H11" s="2">
        <v>5</v>
      </c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31</v>
      </c>
      <c r="S11" s="82">
        <f t="shared" si="1"/>
        <v>6.9977426636568856</v>
      </c>
      <c r="U11" s="2" t="s">
        <v>43</v>
      </c>
      <c r="V11" s="2">
        <f>C11*Navires!$B$2</f>
        <v>1955</v>
      </c>
      <c r="W11" s="2">
        <f>D11*Navires!$C$2</f>
        <v>5865</v>
      </c>
      <c r="X11" s="2">
        <f>E11*Navires!$D$2</f>
        <v>0</v>
      </c>
      <c r="Y11" s="2">
        <f>F11*Navires!$E$2</f>
        <v>20680</v>
      </c>
      <c r="Z11" s="2">
        <f>G11*Navires!$F$2</f>
        <v>20856</v>
      </c>
      <c r="AA11" s="2">
        <f>H11*Navires!$G$2</f>
        <v>10000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59356</v>
      </c>
      <c r="AM11" s="118" t="s">
        <v>43</v>
      </c>
      <c r="AN11" s="118">
        <f>C11*Navires!$B$6</f>
        <v>570.4</v>
      </c>
      <c r="AO11" s="118">
        <f>D11*Navires!$C$6</f>
        <v>1711.1999999999998</v>
      </c>
      <c r="AP11" s="118">
        <f>E11*Navires!$D$6</f>
        <v>0</v>
      </c>
      <c r="AQ11" s="118">
        <f>F11*Navires!$E$6</f>
        <v>13508</v>
      </c>
      <c r="AR11" s="118">
        <f>G11*Navires!$F$6</f>
        <v>7488.8000000000011</v>
      </c>
      <c r="AS11" s="118">
        <f>H11*Navires!$G$6</f>
        <v>3400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8003.52</v>
      </c>
      <c r="BE11" s="118" t="s">
        <v>43</v>
      </c>
      <c r="BF11" s="118">
        <f>C11*Navires!$B$6</f>
        <v>570.4</v>
      </c>
      <c r="BG11" s="118">
        <f>D11*Navires!$B$6</f>
        <v>1711.1999999999998</v>
      </c>
      <c r="BH11" s="118">
        <f>E11*Navires!$B$6</f>
        <v>0</v>
      </c>
      <c r="BI11" s="118">
        <f>F11*Navires!$B$6</f>
        <v>6274.4</v>
      </c>
      <c r="BJ11" s="118">
        <f>G11*Navires!$B$6</f>
        <v>6274.4</v>
      </c>
      <c r="BK11" s="118">
        <f>H11*Navires!$B$6</f>
        <v>2852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30060.080000000002</v>
      </c>
    </row>
    <row r="12" spans="1:73" x14ac:dyDescent="0.25">
      <c r="A12" t="s">
        <v>56</v>
      </c>
      <c r="B12" s="2" t="s">
        <v>44</v>
      </c>
      <c r="C12" s="2">
        <v>5</v>
      </c>
      <c r="D12" s="2">
        <v>1</v>
      </c>
      <c r="E12" s="2">
        <v>0</v>
      </c>
      <c r="F12" s="2">
        <v>7</v>
      </c>
      <c r="G12" s="2">
        <v>12</v>
      </c>
      <c r="H12" s="2">
        <v>6</v>
      </c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31</v>
      </c>
      <c r="S12" s="82">
        <f t="shared" si="1"/>
        <v>7.2429906542056068</v>
      </c>
      <c r="U12" s="2" t="s">
        <v>44</v>
      </c>
      <c r="V12" s="2">
        <f>C12*Navires!$B$2</f>
        <v>9775</v>
      </c>
      <c r="W12" s="2">
        <f>D12*Navires!$C$2</f>
        <v>1955</v>
      </c>
      <c r="X12" s="2">
        <f>E12*Navires!$D$2</f>
        <v>0</v>
      </c>
      <c r="Y12" s="2">
        <f>F12*Navires!$E$2</f>
        <v>13160</v>
      </c>
      <c r="Z12" s="2">
        <f>G12*Navires!$F$2</f>
        <v>22752</v>
      </c>
      <c r="AA12" s="2">
        <f>H12*Navires!$G$2</f>
        <v>12000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59642</v>
      </c>
      <c r="AM12" s="118" t="s">
        <v>44</v>
      </c>
      <c r="AN12" s="118">
        <f>C12*Navires!$B$6</f>
        <v>2852</v>
      </c>
      <c r="AO12" s="118">
        <f>D12*Navires!$C$6</f>
        <v>570.4</v>
      </c>
      <c r="AP12" s="118">
        <f>E12*Navires!$D$6</f>
        <v>0</v>
      </c>
      <c r="AQ12" s="118">
        <f>F12*Navires!$E$6</f>
        <v>8596</v>
      </c>
      <c r="AR12" s="118">
        <f>G12*Navires!$F$6</f>
        <v>8169.6</v>
      </c>
      <c r="AS12" s="118">
        <f>H12*Navires!$G$6</f>
        <v>4080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7280.4</v>
      </c>
      <c r="BE12" s="118" t="s">
        <v>44</v>
      </c>
      <c r="BF12" s="118">
        <f>C12*Navires!$B$6</f>
        <v>2852</v>
      </c>
      <c r="BG12" s="118">
        <f>D12*Navires!$B$6</f>
        <v>570.4</v>
      </c>
      <c r="BH12" s="118">
        <f>E12*Navires!$B$6</f>
        <v>0</v>
      </c>
      <c r="BI12" s="118">
        <f>F12*Navires!$B$6</f>
        <v>3992.7999999999997</v>
      </c>
      <c r="BJ12" s="118">
        <f>G12*Navires!$B$6</f>
        <v>6844.7999999999993</v>
      </c>
      <c r="BK12" s="118">
        <f>H12*Navires!$B$6</f>
        <v>3422.3999999999996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30060.080000000002</v>
      </c>
    </row>
    <row r="13" spans="1:73" x14ac:dyDescent="0.25">
      <c r="A13" t="s">
        <v>57</v>
      </c>
      <c r="B13" s="2" t="s">
        <v>45</v>
      </c>
      <c r="C13" s="2">
        <v>5</v>
      </c>
      <c r="D13" s="2">
        <v>6</v>
      </c>
      <c r="E13" s="2">
        <v>0</v>
      </c>
      <c r="F13" s="2">
        <v>7</v>
      </c>
      <c r="G13" s="2">
        <v>10</v>
      </c>
      <c r="H13" s="2">
        <v>9</v>
      </c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37</v>
      </c>
      <c r="S13" s="82">
        <f t="shared" si="1"/>
        <v>8.3521444695259603</v>
      </c>
      <c r="U13" s="2" t="s">
        <v>45</v>
      </c>
      <c r="V13" s="2">
        <f>C13*Navires!$B$2</f>
        <v>9775</v>
      </c>
      <c r="W13" s="2">
        <f>D13*Navires!$C$2</f>
        <v>11730</v>
      </c>
      <c r="X13" s="2">
        <f>E13*Navires!$D$2</f>
        <v>0</v>
      </c>
      <c r="Y13" s="2">
        <f>F13*Navires!$E$2</f>
        <v>13160</v>
      </c>
      <c r="Z13" s="2">
        <f>G13*Navires!$F$2</f>
        <v>18960</v>
      </c>
      <c r="AA13" s="2">
        <f>H13*Navires!$G$2</f>
        <v>18000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71625</v>
      </c>
      <c r="AM13" s="118" t="s">
        <v>45</v>
      </c>
      <c r="AN13" s="118">
        <f>C13*Navires!$B$6</f>
        <v>2852</v>
      </c>
      <c r="AO13" s="118">
        <f>D13*Navires!$C$6</f>
        <v>3422.3999999999996</v>
      </c>
      <c r="AP13" s="118">
        <f>E13*Navires!$D$6</f>
        <v>0</v>
      </c>
      <c r="AQ13" s="118">
        <f>F13*Navires!$E$6</f>
        <v>8596</v>
      </c>
      <c r="AR13" s="118">
        <f>G13*Navires!$F$6</f>
        <v>6808.0000000000009</v>
      </c>
      <c r="AS13" s="118">
        <f>H13*Navires!$G$6</f>
        <v>6120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13899.2</v>
      </c>
      <c r="BE13" s="118" t="s">
        <v>45</v>
      </c>
      <c r="BF13" s="118">
        <f>C13*Navires!$B$6</f>
        <v>2852</v>
      </c>
      <c r="BG13" s="118">
        <f>D13*Navires!$B$6</f>
        <v>3422.3999999999996</v>
      </c>
      <c r="BH13" s="118">
        <f>E13*Navires!$B$6</f>
        <v>0</v>
      </c>
      <c r="BI13" s="118">
        <f>F13*Navires!$B$6</f>
        <v>3992.7999999999997</v>
      </c>
      <c r="BJ13" s="118">
        <f>G13*Navires!$B$6</f>
        <v>5704</v>
      </c>
      <c r="BK13" s="118">
        <f>H13*Navires!$B$6</f>
        <v>5133.5999999999995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35878.159999999996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14</v>
      </c>
      <c r="G14" s="2">
        <v>12</v>
      </c>
      <c r="H14" s="2">
        <v>4</v>
      </c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30</v>
      </c>
      <c r="S14" s="82">
        <f t="shared" si="1"/>
        <v>7.009345794392523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26320</v>
      </c>
      <c r="Z14" s="2">
        <f>G14*Navires!$F$2</f>
        <v>22752</v>
      </c>
      <c r="AA14" s="2">
        <f>H14*Navires!$G$2</f>
        <v>8000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57072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17192</v>
      </c>
      <c r="AR14" s="118">
        <f>G14*Navires!$F$6</f>
        <v>8169.6</v>
      </c>
      <c r="AS14" s="118">
        <f>H14*Navires!$G$6</f>
        <v>2720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14040.8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7985.5999999999995</v>
      </c>
      <c r="BJ14" s="118">
        <f>G14*Navires!$B$6</f>
        <v>6844.7999999999993</v>
      </c>
      <c r="BK14" s="118">
        <f>H14*Navires!$B$6</f>
        <v>2281.6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11978.399999999996</v>
      </c>
    </row>
    <row r="15" spans="1:73" x14ac:dyDescent="0.25">
      <c r="A15" t="s">
        <v>59</v>
      </c>
      <c r="B15" s="2" t="s">
        <v>47</v>
      </c>
      <c r="C15" s="2">
        <v>8</v>
      </c>
      <c r="D15" s="2">
        <v>1</v>
      </c>
      <c r="E15" s="2">
        <v>0</v>
      </c>
      <c r="F15" s="2">
        <v>9</v>
      </c>
      <c r="G15" s="2">
        <v>7</v>
      </c>
      <c r="H15" s="2">
        <v>8</v>
      </c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33</v>
      </c>
      <c r="S15" s="82">
        <f t="shared" si="1"/>
        <v>7.4492099322799099</v>
      </c>
      <c r="U15" s="2" t="s">
        <v>47</v>
      </c>
      <c r="V15" s="2">
        <f>C15*Navires!$B$2</f>
        <v>15640</v>
      </c>
      <c r="W15" s="2">
        <f>D15*Navires!$C$2</f>
        <v>1955</v>
      </c>
      <c r="X15" s="2">
        <f>E15*Navires!$D$2</f>
        <v>0</v>
      </c>
      <c r="Y15" s="2">
        <f>F15*Navires!$E$2</f>
        <v>16920</v>
      </c>
      <c r="Z15" s="2">
        <f>G15*Navires!$F$2</f>
        <v>13272</v>
      </c>
      <c r="AA15" s="2">
        <f>H15*Navires!$G$2</f>
        <v>16000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63787</v>
      </c>
      <c r="AM15" s="118" t="s">
        <v>47</v>
      </c>
      <c r="AN15" s="118">
        <f>C15*Navires!$B$6</f>
        <v>4563.2</v>
      </c>
      <c r="AO15" s="118">
        <f>D15*Navires!$C$6</f>
        <v>570.4</v>
      </c>
      <c r="AP15" s="118">
        <f>E15*Navires!$D$6</f>
        <v>0</v>
      </c>
      <c r="AQ15" s="118">
        <f>F15*Navires!$E$6</f>
        <v>11052</v>
      </c>
      <c r="AR15" s="118">
        <f>G15*Navires!$F$6</f>
        <v>4765.6000000000004</v>
      </c>
      <c r="AS15" s="118">
        <f>H15*Navires!$G$6</f>
        <v>5440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13195.599999999999</v>
      </c>
      <c r="BE15" s="118" t="s">
        <v>47</v>
      </c>
      <c r="BF15" s="118">
        <f>C15*Navires!$B$6</f>
        <v>4563.2</v>
      </c>
      <c r="BG15" s="118">
        <f>D15*Navires!$B$6</f>
        <v>570.4</v>
      </c>
      <c r="BH15" s="118">
        <f>E15*Navires!$B$6</f>
        <v>0</v>
      </c>
      <c r="BI15" s="118">
        <f>F15*Navires!$B$6</f>
        <v>5133.5999999999995</v>
      </c>
      <c r="BJ15" s="118">
        <f>G15*Navires!$B$6</f>
        <v>3992.7999999999997</v>
      </c>
      <c r="BK15" s="118">
        <f>H15*Navires!$B$6</f>
        <v>4563.2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13176.239999999998</v>
      </c>
    </row>
    <row r="16" spans="1:73" x14ac:dyDescent="0.25">
      <c r="B16" s="29" t="s">
        <v>60</v>
      </c>
      <c r="C16" s="30">
        <f>SUM(C4:C15)</f>
        <v>43</v>
      </c>
      <c r="D16" s="30">
        <f t="shared" ref="D16:Q16" si="2">SUM(D4:D15)</f>
        <v>41</v>
      </c>
      <c r="E16" s="30">
        <f t="shared" si="2"/>
        <v>3</v>
      </c>
      <c r="F16" s="30">
        <f t="shared" si="2"/>
        <v>105</v>
      </c>
      <c r="G16" s="30">
        <f t="shared" si="2"/>
        <v>112</v>
      </c>
      <c r="H16" s="30">
        <f t="shared" si="2"/>
        <v>77</v>
      </c>
      <c r="I16" s="30">
        <f t="shared" si="2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381</v>
      </c>
      <c r="S16" s="82">
        <f t="shared" si="1"/>
        <v>7.3086514483023208</v>
      </c>
      <c r="U16" s="29" t="s">
        <v>60</v>
      </c>
      <c r="V16" s="30">
        <f>SUM(V4:V15)</f>
        <v>84065</v>
      </c>
      <c r="W16" s="30">
        <f t="shared" ref="W16:AJ16" si="3">SUM(W4:W15)</f>
        <v>80155</v>
      </c>
      <c r="X16" s="30">
        <f t="shared" si="3"/>
        <v>6318</v>
      </c>
      <c r="Y16" s="30">
        <f t="shared" si="3"/>
        <v>197400</v>
      </c>
      <c r="Z16" s="30">
        <f t="shared" si="3"/>
        <v>212352</v>
      </c>
      <c r="AA16" s="30">
        <f t="shared" si="3"/>
        <v>154000</v>
      </c>
      <c r="AB16" s="30">
        <f t="shared" si="3"/>
        <v>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24527.200000000001</v>
      </c>
      <c r="AO16" s="30">
        <f t="shared" ref="AO16:BB16" si="4">SUM(AO4:AO15)</f>
        <v>23386.400000000001</v>
      </c>
      <c r="AP16" s="30">
        <f t="shared" si="4"/>
        <v>2400</v>
      </c>
      <c r="AQ16" s="30">
        <f t="shared" si="4"/>
        <v>128940</v>
      </c>
      <c r="AR16" s="30">
        <f t="shared" si="4"/>
        <v>76249.60000000002</v>
      </c>
      <c r="AS16" s="30">
        <f t="shared" si="4"/>
        <v>52360</v>
      </c>
      <c r="AT16" s="30">
        <f t="shared" si="4"/>
        <v>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24527.200000000001</v>
      </c>
      <c r="BG16" s="30">
        <f t="shared" ref="BG16:BT16" si="5">SUM(BG4:BG15)</f>
        <v>23386.400000000001</v>
      </c>
      <c r="BH16" s="30">
        <f t="shared" si="5"/>
        <v>1711.1999999999998</v>
      </c>
      <c r="BI16" s="30">
        <f t="shared" si="5"/>
        <v>59892</v>
      </c>
      <c r="BJ16" s="30">
        <f t="shared" si="5"/>
        <v>63884.800000000003</v>
      </c>
      <c r="BK16" s="30">
        <f t="shared" si="5"/>
        <v>43920.799999999996</v>
      </c>
      <c r="BL16" s="30">
        <f t="shared" si="5"/>
        <v>0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4</v>
      </c>
      <c r="D21" s="2">
        <v>13</v>
      </c>
      <c r="E21" s="2">
        <v>0</v>
      </c>
      <c r="F21" s="2">
        <v>0</v>
      </c>
      <c r="G21" s="2">
        <v>12</v>
      </c>
      <c r="H21" s="2">
        <v>4</v>
      </c>
      <c r="I21" s="2"/>
      <c r="J21" s="2"/>
      <c r="K21" s="2"/>
      <c r="L21" s="2"/>
      <c r="M21" s="2"/>
      <c r="N21" s="2"/>
      <c r="O21" s="2"/>
      <c r="P21" s="2">
        <v>0</v>
      </c>
      <c r="Q21" s="32"/>
      <c r="R21" s="34">
        <f>SUM(C21:Q21)</f>
        <v>33</v>
      </c>
      <c r="S21" s="82">
        <f>R21/R36</f>
        <v>7.4492099322799099</v>
      </c>
      <c r="U21" s="2" t="s">
        <v>36</v>
      </c>
      <c r="V21" s="2">
        <f>C21*Navires!$B$2</f>
        <v>7820</v>
      </c>
      <c r="W21" s="2">
        <f>D21*Navires!$C$2</f>
        <v>25415</v>
      </c>
      <c r="X21" s="2">
        <f>E21*Navires!$D$2</f>
        <v>0</v>
      </c>
      <c r="Y21" s="2">
        <f>F21*Navires!$E$2</f>
        <v>0</v>
      </c>
      <c r="Z21" s="2">
        <f>G21*Navires!$F$2</f>
        <v>22752</v>
      </c>
      <c r="AA21" s="2">
        <f>H21*Navires!$G$2</f>
        <v>8000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63987</v>
      </c>
      <c r="AM21" s="118" t="s">
        <v>36</v>
      </c>
      <c r="AN21" s="118">
        <f>C21*Navires!$B$6</f>
        <v>2281.6</v>
      </c>
      <c r="AO21" s="118">
        <f>D21*Navires!$C$6</f>
        <v>7415.2</v>
      </c>
      <c r="AP21" s="118">
        <f>E21*Navires!$D$6</f>
        <v>0</v>
      </c>
      <c r="AQ21" s="118">
        <f>F21*Navires!$E$6</f>
        <v>0</v>
      </c>
      <c r="AR21" s="118">
        <f>G21*Navires!$F$6</f>
        <v>8169.6</v>
      </c>
      <c r="AS21" s="118">
        <f>H21*Navires!$G$6</f>
        <v>2720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10293.200000000001</v>
      </c>
      <c r="BE21" s="118" t="s">
        <v>36</v>
      </c>
      <c r="BF21" s="118">
        <f>C21*Navires!$B$6</f>
        <v>2281.6</v>
      </c>
      <c r="BG21" s="118">
        <f>D21*Navires!$B$6</f>
        <v>7415.2</v>
      </c>
      <c r="BH21" s="118">
        <f>E21*Navires!$B$6</f>
        <v>0</v>
      </c>
      <c r="BI21" s="118">
        <f>F21*Navires!$B$6</f>
        <v>0</v>
      </c>
      <c r="BJ21" s="118">
        <f>G21*Navires!$B$6</f>
        <v>6844.7999999999993</v>
      </c>
      <c r="BK21" s="118">
        <f>H21*Navires!$B$6</f>
        <v>2281.6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13176.239999999998</v>
      </c>
    </row>
    <row r="22" spans="1:73" x14ac:dyDescent="0.25">
      <c r="A22" t="s">
        <v>49</v>
      </c>
      <c r="B22" s="2" t="s">
        <v>37</v>
      </c>
      <c r="C22" s="2">
        <v>4</v>
      </c>
      <c r="D22" s="2">
        <v>4</v>
      </c>
      <c r="E22">
        <v>0</v>
      </c>
      <c r="F22" s="2">
        <v>10</v>
      </c>
      <c r="G22" s="2">
        <v>7</v>
      </c>
      <c r="H22" s="2">
        <v>4</v>
      </c>
      <c r="I22" s="2"/>
      <c r="J22" s="2"/>
      <c r="K22" s="2"/>
      <c r="L22" s="2"/>
      <c r="M22" s="2"/>
      <c r="N22" s="2"/>
      <c r="O22" s="2"/>
      <c r="P22" s="2">
        <v>0</v>
      </c>
      <c r="Q22" s="32"/>
      <c r="R22" s="34">
        <f t="shared" ref="R22:R33" si="6">SUM(C22:Q22)</f>
        <v>29</v>
      </c>
      <c r="S22" s="82">
        <f t="shared" ref="S22:S33" si="7">R22/R37</f>
        <v>7.25</v>
      </c>
      <c r="U22" s="2" t="s">
        <v>37</v>
      </c>
      <c r="V22" s="2">
        <f>C22*Navires!$B$2</f>
        <v>7820</v>
      </c>
      <c r="W22" s="2">
        <f>D22*Navires!$C$2</f>
        <v>7820</v>
      </c>
      <c r="X22" s="2">
        <f>E22*Navires!$D$2</f>
        <v>0</v>
      </c>
      <c r="Y22" s="2">
        <f>F22*Navires!$E$2</f>
        <v>18800</v>
      </c>
      <c r="Z22" s="2">
        <f>G22*Navires!$F$2</f>
        <v>13272</v>
      </c>
      <c r="AA22" s="2">
        <f>H22*Navires!$G$2</f>
        <v>8000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55712</v>
      </c>
      <c r="AM22" s="118" t="s">
        <v>37</v>
      </c>
      <c r="AN22" s="118">
        <f>C22*Navires!$B$6</f>
        <v>2281.6</v>
      </c>
      <c r="AO22" s="118">
        <f>D22*Navires!$C$6</f>
        <v>2281.6</v>
      </c>
      <c r="AP22" s="118">
        <f>E22*Navires!$D$6</f>
        <v>0</v>
      </c>
      <c r="AQ22" s="118">
        <f>F22*Navires!$E$6</f>
        <v>12280</v>
      </c>
      <c r="AR22" s="118">
        <f>G22*Navires!$F$6</f>
        <v>4765.6000000000004</v>
      </c>
      <c r="AS22" s="118">
        <f>H22*Navires!$G$6</f>
        <v>2720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12164.400000000001</v>
      </c>
      <c r="BE22" s="118" t="s">
        <v>37</v>
      </c>
      <c r="BF22" s="118">
        <f>C22*Navires!$B$6</f>
        <v>2281.6</v>
      </c>
      <c r="BG22" s="118">
        <f>D22*Navires!$B$6</f>
        <v>2281.6</v>
      </c>
      <c r="BH22" s="118">
        <f>E22*Navires!$B$6</f>
        <v>0</v>
      </c>
      <c r="BI22" s="118">
        <f>F22*Navires!$B$6</f>
        <v>5704</v>
      </c>
      <c r="BJ22" s="118">
        <f>G22*Navires!$B$6</f>
        <v>3992.7999999999997</v>
      </c>
      <c r="BK22" s="118">
        <f>H22*Navires!$B$6</f>
        <v>2281.6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11579.119999999999</v>
      </c>
    </row>
    <row r="23" spans="1:73" x14ac:dyDescent="0.25">
      <c r="A23" t="s">
        <v>50</v>
      </c>
      <c r="B23" s="2" t="s">
        <v>38</v>
      </c>
      <c r="C23" s="2">
        <v>10</v>
      </c>
      <c r="D23" s="2">
        <v>4</v>
      </c>
      <c r="E23" s="2">
        <v>0</v>
      </c>
      <c r="F23" s="2">
        <v>13</v>
      </c>
      <c r="G23" s="2">
        <v>3</v>
      </c>
      <c r="H23" s="2">
        <v>2</v>
      </c>
      <c r="I23" s="2"/>
      <c r="J23" s="2"/>
      <c r="K23" s="2"/>
      <c r="L23" s="2"/>
      <c r="M23" s="2"/>
      <c r="N23" s="2"/>
      <c r="O23" s="2"/>
      <c r="P23" s="2">
        <v>0</v>
      </c>
      <c r="Q23" s="32"/>
      <c r="R23" s="34">
        <f t="shared" si="6"/>
        <v>32</v>
      </c>
      <c r="S23" s="82">
        <f t="shared" si="7"/>
        <v>7.2234762979683982</v>
      </c>
      <c r="U23" s="2" t="s">
        <v>38</v>
      </c>
      <c r="V23" s="2">
        <f>C23*Navires!$B$2</f>
        <v>19550</v>
      </c>
      <c r="W23" s="2">
        <f>D23*Navires!$C$2</f>
        <v>7820</v>
      </c>
      <c r="X23" s="2">
        <f>E23*Navires!$D$2</f>
        <v>0</v>
      </c>
      <c r="Y23" s="2">
        <f>F23*Navires!$E$2</f>
        <v>24440</v>
      </c>
      <c r="Z23" s="2">
        <f>G23*Navires!$F$2</f>
        <v>5688</v>
      </c>
      <c r="AA23" s="2">
        <f>H23*Navires!$G$2</f>
        <v>4000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61498</v>
      </c>
      <c r="AM23" s="118" t="s">
        <v>38</v>
      </c>
      <c r="AN23" s="118">
        <f>C23*Navires!$B$6</f>
        <v>5704</v>
      </c>
      <c r="AO23" s="118">
        <f>D23*Navires!$C$6</f>
        <v>2281.6</v>
      </c>
      <c r="AP23" s="118">
        <f>E23*Navires!$D$6</f>
        <v>0</v>
      </c>
      <c r="AQ23" s="118">
        <f>F23*Navires!$E$6</f>
        <v>15964</v>
      </c>
      <c r="AR23" s="118">
        <f>G23*Navires!$F$6</f>
        <v>2042.4</v>
      </c>
      <c r="AS23" s="118">
        <f>H23*Navires!$G$6</f>
        <v>1360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13676</v>
      </c>
      <c r="BE23" s="118" t="s">
        <v>38</v>
      </c>
      <c r="BF23" s="118">
        <f>C23*Navires!$B$6</f>
        <v>5704</v>
      </c>
      <c r="BG23" s="118">
        <f>D23*Navires!$B$6</f>
        <v>2281.6</v>
      </c>
      <c r="BH23" s="118">
        <f>E23*Navires!$B$6</f>
        <v>0</v>
      </c>
      <c r="BI23" s="118">
        <f>F23*Navires!$B$6</f>
        <v>7415.2</v>
      </c>
      <c r="BJ23" s="118">
        <f>G23*Navires!$B$6</f>
        <v>1711.1999999999998</v>
      </c>
      <c r="BK23" s="118">
        <f>H23*Navires!$B$6</f>
        <v>1140.8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12776.96</v>
      </c>
    </row>
    <row r="24" spans="1:73" x14ac:dyDescent="0.25">
      <c r="A24" t="s">
        <v>51</v>
      </c>
      <c r="B24" s="2" t="s">
        <v>39</v>
      </c>
      <c r="C24" s="2">
        <v>0</v>
      </c>
      <c r="D24" s="2">
        <v>4</v>
      </c>
      <c r="E24" s="2">
        <v>1</v>
      </c>
      <c r="F24" s="2">
        <v>8</v>
      </c>
      <c r="G24" s="2">
        <v>10</v>
      </c>
      <c r="H24" s="2">
        <v>8</v>
      </c>
      <c r="I24" s="2"/>
      <c r="J24" s="2"/>
      <c r="K24" s="2"/>
      <c r="L24" s="2"/>
      <c r="M24" s="2"/>
      <c r="N24" s="2"/>
      <c r="O24" s="2"/>
      <c r="P24" s="2">
        <v>0</v>
      </c>
      <c r="Q24" s="32"/>
      <c r="R24" s="34">
        <f t="shared" si="6"/>
        <v>31</v>
      </c>
      <c r="S24" s="82">
        <f t="shared" si="7"/>
        <v>7.2429906542056068</v>
      </c>
      <c r="U24" s="2" t="s">
        <v>39</v>
      </c>
      <c r="V24" s="2">
        <f>C24*Navires!$B$2</f>
        <v>0</v>
      </c>
      <c r="W24" s="2">
        <f>D24*Navires!$C$2</f>
        <v>7820</v>
      </c>
      <c r="X24" s="2">
        <f>E24*Navires!$D$2</f>
        <v>2106</v>
      </c>
      <c r="Y24" s="2">
        <f>F24*Navires!$E$2</f>
        <v>15040</v>
      </c>
      <c r="Z24" s="2">
        <f>G24*Navires!$F$2</f>
        <v>18960</v>
      </c>
      <c r="AA24" s="2">
        <f>H24*Navires!$G$2</f>
        <v>16000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59926</v>
      </c>
      <c r="AM24" s="118" t="s">
        <v>39</v>
      </c>
      <c r="AN24" s="118">
        <f>C24*Navires!$B$6</f>
        <v>0</v>
      </c>
      <c r="AO24" s="118">
        <f>D24*Navires!$C$6</f>
        <v>2281.6</v>
      </c>
      <c r="AP24" s="118">
        <f>E24*Navires!$D$6</f>
        <v>800</v>
      </c>
      <c r="AQ24" s="118">
        <f>F24*Navires!$E$6</f>
        <v>9824</v>
      </c>
      <c r="AR24" s="118">
        <f>G24*Navires!$F$6</f>
        <v>6808.0000000000009</v>
      </c>
      <c r="AS24" s="118">
        <f>H24*Navires!$G$6</f>
        <v>5440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12576.800000000001</v>
      </c>
      <c r="BE24" s="118" t="s">
        <v>39</v>
      </c>
      <c r="BF24" s="118">
        <f>C24*Navires!$B$6</f>
        <v>0</v>
      </c>
      <c r="BG24" s="118">
        <f>D24*Navires!$B$6</f>
        <v>2281.6</v>
      </c>
      <c r="BH24" s="118">
        <f>E24*Navires!$B$6</f>
        <v>570.4</v>
      </c>
      <c r="BI24" s="118">
        <f>F24*Navires!$B$6</f>
        <v>4563.2</v>
      </c>
      <c r="BJ24" s="118">
        <f>G24*Navires!$B$6</f>
        <v>5704</v>
      </c>
      <c r="BK24" s="118">
        <f>H24*Navires!$B$6</f>
        <v>4563.2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30060.080000000002</v>
      </c>
    </row>
    <row r="25" spans="1:73" x14ac:dyDescent="0.25">
      <c r="A25" t="s">
        <v>52</v>
      </c>
      <c r="B25" s="2" t="s">
        <v>40</v>
      </c>
      <c r="C25" s="2">
        <v>2</v>
      </c>
      <c r="D25" s="2">
        <v>5</v>
      </c>
      <c r="E25" s="2">
        <v>1</v>
      </c>
      <c r="F25" s="2">
        <v>5</v>
      </c>
      <c r="G25" s="2">
        <v>11</v>
      </c>
      <c r="H25" s="2">
        <v>13</v>
      </c>
      <c r="I25" s="2"/>
      <c r="J25" s="2"/>
      <c r="K25" s="2"/>
      <c r="L25" s="2"/>
      <c r="M25" s="2"/>
      <c r="N25" s="2"/>
      <c r="O25" s="2"/>
      <c r="P25" s="2">
        <v>0</v>
      </c>
      <c r="Q25" s="32"/>
      <c r="R25" s="34">
        <f t="shared" si="6"/>
        <v>37</v>
      </c>
      <c r="S25" s="82">
        <f t="shared" si="7"/>
        <v>8.3521444695259603</v>
      </c>
      <c r="U25" s="2" t="s">
        <v>40</v>
      </c>
      <c r="V25" s="2">
        <f>C25*Navires!$B$2</f>
        <v>3910</v>
      </c>
      <c r="W25" s="2">
        <f>D25*Navires!$C$2</f>
        <v>9775</v>
      </c>
      <c r="X25" s="2">
        <f>E25*Navires!$D$2</f>
        <v>2106</v>
      </c>
      <c r="Y25" s="2">
        <f>F25*Navires!$E$2</f>
        <v>9400</v>
      </c>
      <c r="Z25" s="2">
        <f>G25*Navires!$F$2</f>
        <v>20856</v>
      </c>
      <c r="AA25" s="2">
        <f>H25*Navires!$G$2</f>
        <v>26000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72047</v>
      </c>
      <c r="AM25" s="118" t="s">
        <v>40</v>
      </c>
      <c r="AN25" s="118">
        <f>C25*Navires!$B$6</f>
        <v>1140.8</v>
      </c>
      <c r="AO25" s="118">
        <f>D25*Navires!$C$6</f>
        <v>2852</v>
      </c>
      <c r="AP25" s="118">
        <f>E25*Navires!$D$6</f>
        <v>800</v>
      </c>
      <c r="AQ25" s="118">
        <f>F25*Navires!$E$6</f>
        <v>6140</v>
      </c>
      <c r="AR25" s="118">
        <f>G25*Navires!$F$6</f>
        <v>7488.8000000000011</v>
      </c>
      <c r="AS25" s="118">
        <f>H25*Navires!$G$6</f>
        <v>8840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8178.48</v>
      </c>
      <c r="BE25" s="118" t="s">
        <v>40</v>
      </c>
      <c r="BF25" s="118">
        <f>C25*Navires!$B$6</f>
        <v>1140.8</v>
      </c>
      <c r="BG25" s="118">
        <f>D25*Navires!$B$6</f>
        <v>2852</v>
      </c>
      <c r="BH25" s="118">
        <f>E25*Navires!$B$6</f>
        <v>570.4</v>
      </c>
      <c r="BI25" s="118">
        <f>F25*Navires!$B$6</f>
        <v>2852</v>
      </c>
      <c r="BJ25" s="118">
        <f>G25*Navires!$B$6</f>
        <v>6274.4</v>
      </c>
      <c r="BK25" s="118">
        <f>H25*Navires!$B$6</f>
        <v>7415.2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35878.159999999996</v>
      </c>
    </row>
    <row r="26" spans="1:73" x14ac:dyDescent="0.25">
      <c r="A26" t="s">
        <v>53</v>
      </c>
      <c r="B26" s="2" t="s">
        <v>41</v>
      </c>
      <c r="C26" s="2">
        <v>3</v>
      </c>
      <c r="D26" s="2">
        <v>0</v>
      </c>
      <c r="E26" s="2">
        <v>1</v>
      </c>
      <c r="F26" s="2">
        <v>10</v>
      </c>
      <c r="G26" s="2">
        <v>9</v>
      </c>
      <c r="H26" s="2">
        <v>7</v>
      </c>
      <c r="I26" s="2"/>
      <c r="J26" s="2"/>
      <c r="K26" s="2"/>
      <c r="L26" s="2"/>
      <c r="M26" s="2"/>
      <c r="N26" s="2"/>
      <c r="O26" s="2"/>
      <c r="P26" s="2">
        <v>0</v>
      </c>
      <c r="Q26" s="32"/>
      <c r="R26" s="34">
        <f t="shared" si="6"/>
        <v>30</v>
      </c>
      <c r="S26" s="82">
        <f t="shared" si="7"/>
        <v>7.009345794392523</v>
      </c>
      <c r="U26" s="2" t="s">
        <v>41</v>
      </c>
      <c r="V26" s="2">
        <f>C26*Navires!$B$2</f>
        <v>5865</v>
      </c>
      <c r="W26" s="2">
        <f>D26*Navires!$C$2</f>
        <v>0</v>
      </c>
      <c r="X26" s="2">
        <f>E26*Navires!$D$2</f>
        <v>2106</v>
      </c>
      <c r="Y26" s="2">
        <f>F26*Navires!$E$2</f>
        <v>18800</v>
      </c>
      <c r="Z26" s="2">
        <f>G26*Navires!$F$2</f>
        <v>17064</v>
      </c>
      <c r="AA26" s="2">
        <f>H26*Navires!$G$2</f>
        <v>14000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57835</v>
      </c>
      <c r="AM26" s="118" t="s">
        <v>41</v>
      </c>
      <c r="AN26" s="118">
        <f>C26*Navires!$B$6</f>
        <v>1711.1999999999998</v>
      </c>
      <c r="AO26" s="118">
        <f>D26*Navires!$C$6</f>
        <v>0</v>
      </c>
      <c r="AP26" s="118">
        <f>E26*Navires!$D$6</f>
        <v>800</v>
      </c>
      <c r="AQ26" s="118">
        <f>F26*Navires!$E$6</f>
        <v>12280</v>
      </c>
      <c r="AR26" s="118">
        <f>G26*Navires!$F$6</f>
        <v>6127.2000000000007</v>
      </c>
      <c r="AS26" s="118">
        <f>H26*Navires!$G$6</f>
        <v>4760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7703.52</v>
      </c>
      <c r="BE26" s="118" t="s">
        <v>41</v>
      </c>
      <c r="BF26" s="118">
        <f>C26*Navires!$B$6</f>
        <v>1711.1999999999998</v>
      </c>
      <c r="BG26" s="118">
        <f>D26*Navires!$B$6</f>
        <v>0</v>
      </c>
      <c r="BH26" s="118">
        <f>E26*Navires!$B$6</f>
        <v>570.4</v>
      </c>
      <c r="BI26" s="118">
        <f>F26*Navires!$B$6</f>
        <v>5704</v>
      </c>
      <c r="BJ26" s="118">
        <f>G26*Navires!$B$6</f>
        <v>5133.5999999999995</v>
      </c>
      <c r="BK26" s="118">
        <f>H26*Navires!$B$6</f>
        <v>3992.7999999999997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29090.399999999998</v>
      </c>
    </row>
    <row r="27" spans="1:73" x14ac:dyDescent="0.25">
      <c r="A27" t="s">
        <v>54</v>
      </c>
      <c r="B27" s="2" t="s">
        <v>42</v>
      </c>
      <c r="C27" s="2">
        <v>2</v>
      </c>
      <c r="D27" s="2">
        <v>2</v>
      </c>
      <c r="E27" s="2">
        <v>0</v>
      </c>
      <c r="F27" s="2">
        <v>11</v>
      </c>
      <c r="G27" s="2">
        <v>11</v>
      </c>
      <c r="H27" s="2">
        <v>5</v>
      </c>
      <c r="I27" s="2"/>
      <c r="J27" s="2"/>
      <c r="K27" s="2"/>
      <c r="L27" s="2"/>
      <c r="M27" s="2"/>
      <c r="N27" s="2"/>
      <c r="O27" s="2"/>
      <c r="P27" s="2">
        <v>0</v>
      </c>
      <c r="Q27" s="32"/>
      <c r="R27" s="34">
        <f t="shared" si="6"/>
        <v>31</v>
      </c>
      <c r="S27" s="82">
        <f t="shared" si="7"/>
        <v>6.9977426636568856</v>
      </c>
      <c r="U27" s="2" t="s">
        <v>42</v>
      </c>
      <c r="V27" s="2">
        <f>C27*Navires!$B$2</f>
        <v>3910</v>
      </c>
      <c r="W27" s="2">
        <f>D27*Navires!$C$2</f>
        <v>3910</v>
      </c>
      <c r="X27" s="2">
        <f>E27*Navires!$D$2</f>
        <v>0</v>
      </c>
      <c r="Y27" s="2">
        <f>F27*Navires!$E$2</f>
        <v>20680</v>
      </c>
      <c r="Z27" s="2">
        <f>G27*Navires!$F$2</f>
        <v>20856</v>
      </c>
      <c r="AA27" s="2">
        <f>H27*Navires!$G$2</f>
        <v>10000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59356</v>
      </c>
      <c r="AM27" s="118" t="s">
        <v>42</v>
      </c>
      <c r="AN27" s="118">
        <f>C27*Navires!$B$6</f>
        <v>1140.8</v>
      </c>
      <c r="AO27" s="118">
        <f>D27*Navires!$C$6</f>
        <v>1140.8</v>
      </c>
      <c r="AP27" s="118">
        <f>E27*Navires!$D$6</f>
        <v>0</v>
      </c>
      <c r="AQ27" s="118">
        <f>F27*Navires!$E$6</f>
        <v>13508</v>
      </c>
      <c r="AR27" s="118">
        <f>G27*Navires!$F$6</f>
        <v>7488.8000000000011</v>
      </c>
      <c r="AS27" s="118">
        <f>H27*Navires!$G$6</f>
        <v>3400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8003.52</v>
      </c>
      <c r="BE27" s="118" t="s">
        <v>42</v>
      </c>
      <c r="BF27" s="118">
        <f>C27*Navires!$B$6</f>
        <v>1140.8</v>
      </c>
      <c r="BG27" s="118">
        <f>D27*Navires!$B$6</f>
        <v>1140.8</v>
      </c>
      <c r="BH27" s="118">
        <f>E27*Navires!$B$6</f>
        <v>0</v>
      </c>
      <c r="BI27" s="118">
        <f>F27*Navires!$B$6</f>
        <v>6274.4</v>
      </c>
      <c r="BJ27" s="118">
        <f>G27*Navires!$B$6</f>
        <v>6274.4</v>
      </c>
      <c r="BK27" s="118">
        <f>H27*Navires!$B$6</f>
        <v>2852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30060.080000000002</v>
      </c>
    </row>
    <row r="28" spans="1:73" x14ac:dyDescent="0.25">
      <c r="A28" t="s">
        <v>55</v>
      </c>
      <c r="B28" s="2" t="s">
        <v>43</v>
      </c>
      <c r="C28" s="2">
        <v>1</v>
      </c>
      <c r="D28" s="2">
        <v>3</v>
      </c>
      <c r="E28" s="2">
        <v>0</v>
      </c>
      <c r="F28" s="2">
        <v>11</v>
      </c>
      <c r="G28" s="2">
        <v>12</v>
      </c>
      <c r="H28" s="2">
        <v>4</v>
      </c>
      <c r="I28" s="2"/>
      <c r="J28" s="2"/>
      <c r="K28" s="2"/>
      <c r="L28" s="2"/>
      <c r="M28" s="2"/>
      <c r="N28" s="2"/>
      <c r="O28" s="2"/>
      <c r="P28" s="2">
        <v>4</v>
      </c>
      <c r="Q28" s="32"/>
      <c r="R28" s="34">
        <f t="shared" si="6"/>
        <v>35</v>
      </c>
      <c r="S28" s="82">
        <f t="shared" si="7"/>
        <v>7.9006772009029351</v>
      </c>
      <c r="U28" s="2" t="s">
        <v>43</v>
      </c>
      <c r="V28" s="2">
        <f>C28*Navires!$B$2</f>
        <v>1955</v>
      </c>
      <c r="W28" s="2">
        <f>D28*Navires!$C$2</f>
        <v>5865</v>
      </c>
      <c r="X28" s="2">
        <f>E28*Navires!$D$2</f>
        <v>0</v>
      </c>
      <c r="Y28" s="2">
        <f>F28*Navires!$E$2</f>
        <v>20680</v>
      </c>
      <c r="Z28" s="2">
        <f>G28*Navires!$F$2</f>
        <v>22752</v>
      </c>
      <c r="AA28" s="2">
        <f>H28*Navires!$G$2</f>
        <v>8000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6000</v>
      </c>
      <c r="AJ28" s="2">
        <f>Q28*Navires!$P$2</f>
        <v>0</v>
      </c>
      <c r="AK28" s="35">
        <f>(SUM(V28:AJ28))*Générale!$B14</f>
        <v>65252</v>
      </c>
      <c r="AM28" s="118" t="s">
        <v>43</v>
      </c>
      <c r="AN28" s="118">
        <f>C28*Navires!$B$6</f>
        <v>570.4</v>
      </c>
      <c r="AO28" s="118">
        <f>D28*Navires!$C$6</f>
        <v>1711.1999999999998</v>
      </c>
      <c r="AP28" s="118">
        <f>E28*Navires!$D$6</f>
        <v>0</v>
      </c>
      <c r="AQ28" s="118">
        <f>F28*Navires!$E$6</f>
        <v>13508</v>
      </c>
      <c r="AR28" s="118">
        <f>G28*Navires!$F$6</f>
        <v>8169.6</v>
      </c>
      <c r="AS28" s="118">
        <f>H28*Navires!$G$6</f>
        <v>2720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2560</v>
      </c>
      <c r="BB28" s="118">
        <f>Q28*Navires!$P$6</f>
        <v>0</v>
      </c>
      <c r="BC28" s="185">
        <f>SUM(AN28:BB28)*Générale!$B$26</f>
        <v>8771.76</v>
      </c>
      <c r="BE28" s="118" t="s">
        <v>43</v>
      </c>
      <c r="BF28" s="118">
        <f>C28*Navires!$B$6</f>
        <v>570.4</v>
      </c>
      <c r="BG28" s="118">
        <f>D28*Navires!$B$6</f>
        <v>1711.1999999999998</v>
      </c>
      <c r="BH28" s="118">
        <f>E28*Navires!$B$6</f>
        <v>0</v>
      </c>
      <c r="BI28" s="118">
        <f>F28*Navires!$B$6</f>
        <v>6274.4</v>
      </c>
      <c r="BJ28" s="118">
        <f>G28*Navires!$B$6</f>
        <v>6844.7999999999993</v>
      </c>
      <c r="BK28" s="118">
        <f>H28*Navires!$B$6</f>
        <v>2281.6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2281.6</v>
      </c>
      <c r="BT28" s="118">
        <f>Q28*Navires!$B$6</f>
        <v>0</v>
      </c>
      <c r="BU28" s="185">
        <f>SUM(BF28:BT28)*Générale!$B$22</f>
        <v>33938.799999999996</v>
      </c>
    </row>
    <row r="29" spans="1:73" x14ac:dyDescent="0.25">
      <c r="A29" t="s">
        <v>56</v>
      </c>
      <c r="B29" s="2" t="s">
        <v>44</v>
      </c>
      <c r="C29" s="2">
        <v>5</v>
      </c>
      <c r="D29" s="2">
        <v>1</v>
      </c>
      <c r="E29" s="2">
        <v>0</v>
      </c>
      <c r="F29" s="2">
        <v>7</v>
      </c>
      <c r="G29" s="2">
        <v>12</v>
      </c>
      <c r="H29" s="2">
        <v>6</v>
      </c>
      <c r="I29" s="2"/>
      <c r="J29" s="2"/>
      <c r="K29" s="2"/>
      <c r="L29" s="2"/>
      <c r="M29" s="2"/>
      <c r="N29" s="2"/>
      <c r="O29" s="2"/>
      <c r="P29" s="2">
        <v>0</v>
      </c>
      <c r="Q29" s="32"/>
      <c r="R29" s="34">
        <f t="shared" si="6"/>
        <v>31</v>
      </c>
      <c r="S29" s="82">
        <f t="shared" si="7"/>
        <v>7.2429906542056068</v>
      </c>
      <c r="U29" s="2" t="s">
        <v>44</v>
      </c>
      <c r="V29" s="2">
        <f>C29*Navires!$B$2</f>
        <v>9775</v>
      </c>
      <c r="W29" s="2">
        <f>D29*Navires!$C$2</f>
        <v>1955</v>
      </c>
      <c r="X29" s="2">
        <f>E29*Navires!$D$2</f>
        <v>0</v>
      </c>
      <c r="Y29" s="2">
        <f>F29*Navires!$E$2</f>
        <v>13160</v>
      </c>
      <c r="Z29" s="2">
        <f>G29*Navires!$F$2</f>
        <v>22752</v>
      </c>
      <c r="AA29" s="2">
        <f>H29*Navires!$G$2</f>
        <v>12000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59642</v>
      </c>
      <c r="AM29" s="118" t="s">
        <v>44</v>
      </c>
      <c r="AN29" s="118">
        <f>C29*Navires!$B$6</f>
        <v>2852</v>
      </c>
      <c r="AO29" s="118">
        <f>D29*Navires!$C$6</f>
        <v>570.4</v>
      </c>
      <c r="AP29" s="118">
        <f>E29*Navires!$D$6</f>
        <v>0</v>
      </c>
      <c r="AQ29" s="118">
        <f>F29*Navires!$E$6</f>
        <v>8596</v>
      </c>
      <c r="AR29" s="118">
        <f>G29*Navires!$F$6</f>
        <v>8169.6</v>
      </c>
      <c r="AS29" s="118">
        <f>H29*Navires!$G$6</f>
        <v>4080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7280.4</v>
      </c>
      <c r="BE29" s="118" t="s">
        <v>44</v>
      </c>
      <c r="BF29" s="118">
        <f>C29*Navires!$B$6</f>
        <v>2852</v>
      </c>
      <c r="BG29" s="118">
        <f>D29*Navires!$B$6</f>
        <v>570.4</v>
      </c>
      <c r="BH29" s="118">
        <f>E29*Navires!$B$6</f>
        <v>0</v>
      </c>
      <c r="BI29" s="118">
        <f>F29*Navires!$B$6</f>
        <v>3992.7999999999997</v>
      </c>
      <c r="BJ29" s="118">
        <f>G29*Navires!$B$6</f>
        <v>6844.7999999999993</v>
      </c>
      <c r="BK29" s="118">
        <f>H29*Navires!$B$6</f>
        <v>3422.3999999999996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30060.080000000002</v>
      </c>
    </row>
    <row r="30" spans="1:73" x14ac:dyDescent="0.25">
      <c r="A30" t="s">
        <v>57</v>
      </c>
      <c r="B30" s="2" t="s">
        <v>45</v>
      </c>
      <c r="C30" s="2">
        <v>4</v>
      </c>
      <c r="D30" s="2">
        <v>7</v>
      </c>
      <c r="E30" s="2">
        <v>0</v>
      </c>
      <c r="F30" s="2">
        <v>7</v>
      </c>
      <c r="G30" s="2">
        <v>9</v>
      </c>
      <c r="H30" s="2">
        <v>10</v>
      </c>
      <c r="I30" s="2"/>
      <c r="J30" s="2"/>
      <c r="K30" s="2"/>
      <c r="L30" s="2"/>
      <c r="M30" s="2"/>
      <c r="N30" s="2"/>
      <c r="O30" s="2"/>
      <c r="P30" s="2">
        <v>0</v>
      </c>
      <c r="Q30" s="32"/>
      <c r="R30" s="34">
        <f t="shared" si="6"/>
        <v>37</v>
      </c>
      <c r="S30" s="82">
        <f t="shared" si="7"/>
        <v>8.3521444695259603</v>
      </c>
      <c r="U30" s="2" t="s">
        <v>45</v>
      </c>
      <c r="V30" s="2">
        <f>C30*Navires!$B$2</f>
        <v>7820</v>
      </c>
      <c r="W30" s="2">
        <f>D30*Navires!$C$2</f>
        <v>13685</v>
      </c>
      <c r="X30" s="2">
        <f>E30*Navires!$D$2</f>
        <v>0</v>
      </c>
      <c r="Y30" s="2">
        <f>F30*Navires!$E$2</f>
        <v>13160</v>
      </c>
      <c r="Z30" s="2">
        <f>G30*Navires!$F$2</f>
        <v>17064</v>
      </c>
      <c r="AA30" s="2">
        <f>H30*Navires!$G$2</f>
        <v>20000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71729</v>
      </c>
      <c r="AM30" s="118" t="s">
        <v>45</v>
      </c>
      <c r="AN30" s="118">
        <f>C30*Navires!$B$6</f>
        <v>2281.6</v>
      </c>
      <c r="AO30" s="118">
        <f>D30*Navires!$C$6</f>
        <v>3992.7999999999997</v>
      </c>
      <c r="AP30" s="118">
        <f>E30*Navires!$D$6</f>
        <v>0</v>
      </c>
      <c r="AQ30" s="118">
        <f>F30*Navires!$E$6</f>
        <v>8596</v>
      </c>
      <c r="AR30" s="118">
        <f>G30*Navires!$F$6</f>
        <v>6127.2000000000007</v>
      </c>
      <c r="AS30" s="118">
        <f>H30*Navires!$G$6</f>
        <v>6800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13898.8</v>
      </c>
      <c r="BE30" s="118" t="s">
        <v>45</v>
      </c>
      <c r="BF30" s="118">
        <f>C30*Navires!$B$6</f>
        <v>2281.6</v>
      </c>
      <c r="BG30" s="118">
        <f>D30*Navires!$B$6</f>
        <v>3992.7999999999997</v>
      </c>
      <c r="BH30" s="118">
        <f>E30*Navires!$B$6</f>
        <v>0</v>
      </c>
      <c r="BI30" s="118">
        <f>F30*Navires!$B$6</f>
        <v>3992.7999999999997</v>
      </c>
      <c r="BJ30" s="118">
        <f>G30*Navires!$B$6</f>
        <v>5133.5999999999995</v>
      </c>
      <c r="BK30" s="118">
        <f>H30*Navires!$B$6</f>
        <v>5704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35878.159999999996</v>
      </c>
    </row>
    <row r="31" spans="1:73" x14ac:dyDescent="0.25">
      <c r="A31" t="s">
        <v>58</v>
      </c>
      <c r="B31" s="2" t="s">
        <v>46</v>
      </c>
      <c r="C31" s="2">
        <v>0</v>
      </c>
      <c r="D31" s="2">
        <v>1</v>
      </c>
      <c r="E31" s="2">
        <v>0</v>
      </c>
      <c r="F31" s="2">
        <v>14</v>
      </c>
      <c r="G31" s="2">
        <v>13</v>
      </c>
      <c r="H31" s="2">
        <v>3</v>
      </c>
      <c r="I31" s="2"/>
      <c r="J31" s="2"/>
      <c r="K31" s="2"/>
      <c r="L31" s="2"/>
      <c r="M31" s="2"/>
      <c r="N31" s="2"/>
      <c r="O31" s="2"/>
      <c r="P31" s="2">
        <v>2</v>
      </c>
      <c r="Q31" s="32"/>
      <c r="R31" s="34">
        <f t="shared" si="6"/>
        <v>33</v>
      </c>
      <c r="S31" s="82">
        <f t="shared" si="7"/>
        <v>7.7102803738317753</v>
      </c>
      <c r="U31" s="2" t="s">
        <v>46</v>
      </c>
      <c r="V31" s="2">
        <f>C31*Navires!$B$2</f>
        <v>0</v>
      </c>
      <c r="W31" s="2">
        <f>D31*Navires!$C$2</f>
        <v>1955</v>
      </c>
      <c r="X31" s="2">
        <f>E31*Navires!$D$2</f>
        <v>0</v>
      </c>
      <c r="Y31" s="2">
        <f>F31*Navires!$E$2</f>
        <v>26320</v>
      </c>
      <c r="Z31" s="2">
        <f>G31*Navires!$F$2</f>
        <v>24648</v>
      </c>
      <c r="AA31" s="2">
        <f>H31*Navires!$G$2</f>
        <v>6000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3000</v>
      </c>
      <c r="AJ31" s="2">
        <f>Q31*Navires!$P$2</f>
        <v>0</v>
      </c>
      <c r="AK31" s="35">
        <f>(SUM(V31:AJ31))*Générale!$B17</f>
        <v>61923</v>
      </c>
      <c r="AM31" s="118" t="s">
        <v>46</v>
      </c>
      <c r="AN31" s="118">
        <f>C31*Navires!$B$6</f>
        <v>0</v>
      </c>
      <c r="AO31" s="118">
        <f>D31*Navires!$C$6</f>
        <v>570.4</v>
      </c>
      <c r="AP31" s="118">
        <f>E31*Navires!$D$6</f>
        <v>0</v>
      </c>
      <c r="AQ31" s="118">
        <f>F31*Navires!$E$6</f>
        <v>17192</v>
      </c>
      <c r="AR31" s="118">
        <f>G31*Navires!$F$6</f>
        <v>8850.4000000000015</v>
      </c>
      <c r="AS31" s="118">
        <f>H31*Navires!$G$6</f>
        <v>2040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1280</v>
      </c>
      <c r="BB31" s="118">
        <f>Q31*Navires!$P$6</f>
        <v>0</v>
      </c>
      <c r="BC31" s="185">
        <f>SUM(AN31:BB31)*Générale!$B$27</f>
        <v>14966.400000000001</v>
      </c>
      <c r="BE31" s="118" t="s">
        <v>46</v>
      </c>
      <c r="BF31" s="118">
        <f>C31*Navires!$B$6</f>
        <v>0</v>
      </c>
      <c r="BG31" s="118">
        <f>D31*Navires!$B$6</f>
        <v>570.4</v>
      </c>
      <c r="BH31" s="118">
        <f>E31*Navires!$B$6</f>
        <v>0</v>
      </c>
      <c r="BI31" s="118">
        <f>F31*Navires!$B$6</f>
        <v>7985.5999999999995</v>
      </c>
      <c r="BJ31" s="118">
        <f>G31*Navires!$B$6</f>
        <v>7415.2</v>
      </c>
      <c r="BK31" s="118">
        <f>H31*Navires!$B$6</f>
        <v>1711.1999999999998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1140.8</v>
      </c>
      <c r="BT31" s="118">
        <f>Q31*Navires!$B$6</f>
        <v>0</v>
      </c>
      <c r="BU31" s="185">
        <f>SUM(BF31:BT31)*Générale!$B$23</f>
        <v>13176.24</v>
      </c>
    </row>
    <row r="32" spans="1:73" x14ac:dyDescent="0.25">
      <c r="A32" t="s">
        <v>59</v>
      </c>
      <c r="B32" s="2" t="s">
        <v>47</v>
      </c>
      <c r="C32" s="2">
        <v>8</v>
      </c>
      <c r="D32" s="2">
        <v>1</v>
      </c>
      <c r="E32" s="2">
        <v>0</v>
      </c>
      <c r="F32" s="2">
        <v>8</v>
      </c>
      <c r="G32" s="2">
        <v>6</v>
      </c>
      <c r="H32" s="2">
        <v>9</v>
      </c>
      <c r="I32" s="2"/>
      <c r="J32" s="2"/>
      <c r="K32" s="2"/>
      <c r="L32" s="2"/>
      <c r="M32" s="2"/>
      <c r="N32" s="2"/>
      <c r="O32" s="2"/>
      <c r="P32" s="2">
        <v>0</v>
      </c>
      <c r="Q32" s="32"/>
      <c r="R32" s="34">
        <f t="shared" si="6"/>
        <v>32</v>
      </c>
      <c r="S32" s="82">
        <f t="shared" si="7"/>
        <v>7.2234762979683982</v>
      </c>
      <c r="U32" s="2" t="s">
        <v>47</v>
      </c>
      <c r="V32" s="2">
        <f>C32*Navires!$B$2</f>
        <v>15640</v>
      </c>
      <c r="W32" s="2">
        <f>D32*Navires!$C$2</f>
        <v>1955</v>
      </c>
      <c r="X32" s="2">
        <f>E32*Navires!$D$2</f>
        <v>0</v>
      </c>
      <c r="Y32" s="2">
        <f>F32*Navires!$E$2</f>
        <v>15040</v>
      </c>
      <c r="Z32" s="2">
        <f>G32*Navires!$F$2</f>
        <v>11376</v>
      </c>
      <c r="AA32" s="2">
        <f>H32*Navires!$G$2</f>
        <v>18000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62011</v>
      </c>
      <c r="AM32" s="118" t="s">
        <v>47</v>
      </c>
      <c r="AN32" s="118">
        <f>C32*Navires!$B$6</f>
        <v>4563.2</v>
      </c>
      <c r="AO32" s="118">
        <f>D32*Navires!$C$6</f>
        <v>570.4</v>
      </c>
      <c r="AP32" s="118">
        <f>E32*Navires!$D$6</f>
        <v>0</v>
      </c>
      <c r="AQ32" s="118">
        <f>F32*Navires!$E$6</f>
        <v>9824</v>
      </c>
      <c r="AR32" s="118">
        <f>G32*Navires!$F$6</f>
        <v>4084.8</v>
      </c>
      <c r="AS32" s="118">
        <f>H32*Navires!$G$6</f>
        <v>6120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12581.199999999999</v>
      </c>
      <c r="BE32" s="118" t="s">
        <v>47</v>
      </c>
      <c r="BF32" s="118">
        <f>C32*Navires!$B$6</f>
        <v>4563.2</v>
      </c>
      <c r="BG32" s="118">
        <f>D32*Navires!$B$6</f>
        <v>570.4</v>
      </c>
      <c r="BH32" s="118">
        <f>E32*Navires!$B$6</f>
        <v>0</v>
      </c>
      <c r="BI32" s="118">
        <f>F32*Navires!$B$6</f>
        <v>4563.2</v>
      </c>
      <c r="BJ32" s="118">
        <f>G32*Navires!$B$6</f>
        <v>3422.3999999999996</v>
      </c>
      <c r="BK32" s="118">
        <f>H32*Navires!$B$6</f>
        <v>5133.5999999999995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12776.96</v>
      </c>
    </row>
    <row r="33" spans="1:73" x14ac:dyDescent="0.25">
      <c r="A33" s="30"/>
      <c r="B33" s="34" t="s">
        <v>60</v>
      </c>
      <c r="C33" s="34">
        <f>SUM(C21:C32)</f>
        <v>43</v>
      </c>
      <c r="D33" s="34">
        <f t="shared" ref="D33:E33" si="8">SUM(D21:D32)</f>
        <v>45</v>
      </c>
      <c r="E33" s="34">
        <f t="shared" si="8"/>
        <v>3</v>
      </c>
      <c r="F33" s="34">
        <f>SUM(F21:F32)</f>
        <v>104</v>
      </c>
      <c r="G33" s="34">
        <f>SUM(G21:G32)</f>
        <v>115</v>
      </c>
      <c r="H33" s="34">
        <f t="shared" ref="H33:Q33" si="9">SUM(H21:H32)</f>
        <v>75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6</v>
      </c>
      <c r="Q33" s="34">
        <f t="shared" si="9"/>
        <v>0</v>
      </c>
      <c r="R33" s="34">
        <f t="shared" si="6"/>
        <v>391</v>
      </c>
      <c r="S33" s="82">
        <f t="shared" si="7"/>
        <v>7.5004795703050062</v>
      </c>
      <c r="U33" s="34" t="s">
        <v>60</v>
      </c>
      <c r="V33" s="34">
        <f>SUM(V21:V32)</f>
        <v>84065</v>
      </c>
      <c r="W33" s="34">
        <f t="shared" ref="W33:AJ33" si="10">SUM(W21:W32)</f>
        <v>87975</v>
      </c>
      <c r="X33" s="34">
        <f t="shared" si="10"/>
        <v>6318</v>
      </c>
      <c r="Y33" s="34">
        <f t="shared" si="10"/>
        <v>195520</v>
      </c>
      <c r="Z33" s="34">
        <f t="shared" si="10"/>
        <v>218040</v>
      </c>
      <c r="AA33" s="34">
        <f t="shared" si="10"/>
        <v>150000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9000</v>
      </c>
      <c r="AJ33" s="34">
        <f t="shared" si="10"/>
        <v>0</v>
      </c>
      <c r="AK33" s="121"/>
      <c r="AM33" s="34" t="s">
        <v>60</v>
      </c>
      <c r="AN33" s="34">
        <f>SUM(AN21:AN32)</f>
        <v>24527.200000000001</v>
      </c>
      <c r="AO33" s="34">
        <f t="shared" ref="AO33:BB33" si="11">SUM(AO21:AO32)</f>
        <v>25668.000000000004</v>
      </c>
      <c r="AP33" s="34">
        <f t="shared" si="11"/>
        <v>2400</v>
      </c>
      <c r="AQ33" s="34">
        <f t="shared" si="11"/>
        <v>127712</v>
      </c>
      <c r="AR33" s="34">
        <f t="shared" si="11"/>
        <v>78292.000000000015</v>
      </c>
      <c r="AS33" s="34">
        <f t="shared" si="11"/>
        <v>51000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3840</v>
      </c>
      <c r="BB33" s="34">
        <f t="shared" si="11"/>
        <v>0</v>
      </c>
      <c r="BC33" s="118"/>
      <c r="BE33" s="34" t="s">
        <v>60</v>
      </c>
      <c r="BF33" s="118">
        <f>C33*Navires!$B$6</f>
        <v>24527.200000000001</v>
      </c>
      <c r="BG33" s="118">
        <f>D33*Navires!$B$6</f>
        <v>25668</v>
      </c>
      <c r="BH33" s="118">
        <f>E33*Navires!$B$6</f>
        <v>1711.1999999999998</v>
      </c>
      <c r="BI33" s="118">
        <f>F33*Navires!$B$6</f>
        <v>59321.599999999999</v>
      </c>
      <c r="BJ33" s="118">
        <f>G33*Navires!$B$6</f>
        <v>65596</v>
      </c>
      <c r="BK33" s="118">
        <f>H33*Navires!$B$6</f>
        <v>42780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3422.3999999999996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F16" workbookViewId="0">
      <selection activeCell="BU16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/>
      <c r="J4" s="2"/>
      <c r="K4" s="2"/>
      <c r="L4" s="2"/>
      <c r="M4" s="2"/>
      <c r="N4" s="2"/>
      <c r="O4" s="2"/>
      <c r="P4" s="2"/>
      <c r="Q4" s="32">
        <v>1</v>
      </c>
      <c r="R4" s="34">
        <f>SUM(C4:Q4)</f>
        <v>1</v>
      </c>
      <c r="S4" s="82">
        <f>R4/R36</f>
        <v>0.22573363431151244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530</v>
      </c>
      <c r="AK4" s="35">
        <f>(SUM(V4:AJ4))*Générale!$B7</f>
        <v>530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1304</v>
      </c>
      <c r="BC4" s="185">
        <f>SUM(AN4:BB4)*Générale!$B$27</f>
        <v>652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570.4</v>
      </c>
      <c r="BU4" s="185">
        <f>SUM(BF4:BT4)*Générale!$B$23</f>
        <v>399.28</v>
      </c>
    </row>
    <row r="5" spans="1:73" x14ac:dyDescent="0.25">
      <c r="A5" t="s">
        <v>49</v>
      </c>
      <c r="B5" s="2" t="s">
        <v>37</v>
      </c>
      <c r="C5" s="2">
        <v>0</v>
      </c>
      <c r="D5" s="2">
        <v>0</v>
      </c>
      <c r="E5">
        <v>0</v>
      </c>
      <c r="F5" s="2">
        <v>0</v>
      </c>
      <c r="G5" s="2">
        <v>0</v>
      </c>
      <c r="H5" s="2">
        <v>0</v>
      </c>
      <c r="I5" s="2"/>
      <c r="J5" s="2"/>
      <c r="K5" s="2"/>
      <c r="L5" s="2"/>
      <c r="M5" s="2"/>
      <c r="N5" s="2"/>
      <c r="O5" s="2"/>
      <c r="P5" s="2"/>
      <c r="Q5" s="32">
        <v>4</v>
      </c>
      <c r="R5" s="34">
        <f t="shared" ref="R5:R16" si="0">SUM(C5:Q5)</f>
        <v>4</v>
      </c>
      <c r="S5" s="82">
        <f t="shared" ref="S5:S16" si="1">R5/R37</f>
        <v>1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2120</v>
      </c>
      <c r="AK5" s="35">
        <f>(SUM(V5:AJ5))*Générale!$B8</f>
        <v>2120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5216</v>
      </c>
      <c r="BC5" s="185">
        <f>SUM(AN5:BB5)*Générale!$B$27</f>
        <v>2608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2281.6</v>
      </c>
      <c r="BU5" s="185">
        <f>SUM(BF5:BT5)*Générale!$B$23</f>
        <v>1597.12</v>
      </c>
    </row>
    <row r="6" spans="1:73" x14ac:dyDescent="0.25">
      <c r="A6" t="s">
        <v>50</v>
      </c>
      <c r="B6" s="2" t="s">
        <v>38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/>
      <c r="J6" s="2"/>
      <c r="K6" s="2"/>
      <c r="L6" s="2"/>
      <c r="M6" s="2"/>
      <c r="N6" s="2"/>
      <c r="O6" s="2"/>
      <c r="P6" s="2"/>
      <c r="Q6" s="32">
        <v>2</v>
      </c>
      <c r="R6" s="34">
        <f t="shared" si="0"/>
        <v>2</v>
      </c>
      <c r="S6" s="82">
        <f t="shared" si="1"/>
        <v>0.45146726862302489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1060</v>
      </c>
      <c r="AK6" s="35">
        <f>(SUM(V6:AJ6))*Générale!$B9</f>
        <v>1060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2608</v>
      </c>
      <c r="BC6" s="185">
        <f>SUM(AN6:BB6)*Générale!$B$27</f>
        <v>1304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1140.8</v>
      </c>
      <c r="BU6" s="185">
        <f>SUM(BF6:BT6)*Générale!$B$23</f>
        <v>798.56</v>
      </c>
    </row>
    <row r="7" spans="1:73" x14ac:dyDescent="0.25">
      <c r="A7" t="s">
        <v>51</v>
      </c>
      <c r="B7" s="2" t="s">
        <v>39</v>
      </c>
      <c r="C7" s="2">
        <v>0</v>
      </c>
      <c r="D7" s="2">
        <v>0</v>
      </c>
      <c r="E7" s="2">
        <v>0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3</v>
      </c>
      <c r="S7" s="82">
        <f t="shared" si="1"/>
        <v>0.7009345794392523</v>
      </c>
      <c r="U7" s="2" t="s">
        <v>39</v>
      </c>
      <c r="V7" s="2">
        <f>C7*Navires!$B$2</f>
        <v>0</v>
      </c>
      <c r="W7" s="2">
        <f>D7*Navires!$C$2</f>
        <v>0</v>
      </c>
      <c r="X7" s="2">
        <f>E7*Navires!$D$2</f>
        <v>0</v>
      </c>
      <c r="Y7" s="2">
        <f>F7*Navires!$E$2</f>
        <v>1880</v>
      </c>
      <c r="Z7" s="2">
        <f>G7*Navires!$F$2</f>
        <v>1896</v>
      </c>
      <c r="AA7" s="2">
        <f>H7*Navires!$G$2</f>
        <v>2000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5776</v>
      </c>
      <c r="AM7" s="118" t="s">
        <v>39</v>
      </c>
      <c r="AN7" s="118">
        <f>C7*Navires!$B$6</f>
        <v>0</v>
      </c>
      <c r="AO7" s="118">
        <f>D7*Navires!$C$6</f>
        <v>0</v>
      </c>
      <c r="AP7" s="118">
        <f>E7*Navires!$D$6</f>
        <v>0</v>
      </c>
      <c r="AQ7" s="118">
        <f>F7*Navires!$E$6</f>
        <v>1228</v>
      </c>
      <c r="AR7" s="118">
        <f>G7*Navires!$F$6</f>
        <v>680.80000000000007</v>
      </c>
      <c r="AS7" s="118">
        <f>H7*Navires!$G$6</f>
        <v>680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1294.4000000000001</v>
      </c>
      <c r="BE7" s="118" t="s">
        <v>39</v>
      </c>
      <c r="BF7" s="118">
        <f>C7*Navires!$B$6</f>
        <v>0</v>
      </c>
      <c r="BG7" s="118">
        <f>D7*Navires!$B$6</f>
        <v>0</v>
      </c>
      <c r="BH7" s="118">
        <f>E7*Navires!$B$6</f>
        <v>0</v>
      </c>
      <c r="BI7" s="118">
        <f>F7*Navires!$B$6</f>
        <v>570.4</v>
      </c>
      <c r="BJ7" s="118">
        <f>G7*Navires!$B$6</f>
        <v>570.4</v>
      </c>
      <c r="BK7" s="118">
        <f>H7*Navires!$B$6</f>
        <v>570.4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2909.0399999999995</v>
      </c>
    </row>
    <row r="8" spans="1:73" x14ac:dyDescent="0.25">
      <c r="A8" t="s">
        <v>52</v>
      </c>
      <c r="B8" s="2" t="s">
        <v>40</v>
      </c>
      <c r="C8" s="2">
        <v>1</v>
      </c>
      <c r="D8" s="2">
        <v>1</v>
      </c>
      <c r="E8" s="2">
        <v>0</v>
      </c>
      <c r="F8" s="2">
        <v>3</v>
      </c>
      <c r="G8" s="2">
        <v>3</v>
      </c>
      <c r="H8" s="2">
        <v>0</v>
      </c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8</v>
      </c>
      <c r="S8" s="82">
        <f t="shared" si="1"/>
        <v>1.8058690744920995</v>
      </c>
      <c r="U8" s="2" t="s">
        <v>40</v>
      </c>
      <c r="V8" s="2">
        <f>C8*Navires!$B$2</f>
        <v>1955</v>
      </c>
      <c r="W8" s="2">
        <f>D8*Navires!$C$2</f>
        <v>1955</v>
      </c>
      <c r="X8" s="2">
        <f>E8*Navires!$D$2</f>
        <v>0</v>
      </c>
      <c r="Y8" s="2">
        <f>F8*Navires!$E$2</f>
        <v>5640</v>
      </c>
      <c r="Z8" s="2">
        <f>G8*Navires!$F$2</f>
        <v>5688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15238</v>
      </c>
      <c r="AM8" s="118" t="s">
        <v>40</v>
      </c>
      <c r="AN8" s="118">
        <f>C8*Navires!$B$6</f>
        <v>570.4</v>
      </c>
      <c r="AO8" s="118">
        <f>D8*Navires!$C$6</f>
        <v>570.4</v>
      </c>
      <c r="AP8" s="118">
        <f>E8*Navires!$D$6</f>
        <v>0</v>
      </c>
      <c r="AQ8" s="118">
        <f>F8*Navires!$E$6</f>
        <v>3684</v>
      </c>
      <c r="AR8" s="118">
        <f>G8*Navires!$F$6</f>
        <v>2042.4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2060.1600000000003</v>
      </c>
      <c r="BE8" s="118" t="s">
        <v>40</v>
      </c>
      <c r="BF8" s="118">
        <f>C8*Navires!$B$6</f>
        <v>570.4</v>
      </c>
      <c r="BG8" s="118">
        <f>D8*Navires!$B$6</f>
        <v>570.4</v>
      </c>
      <c r="BH8" s="118">
        <f>E8*Navires!$B$6</f>
        <v>0</v>
      </c>
      <c r="BI8" s="118">
        <f>F8*Navires!$B$6</f>
        <v>1711.1999999999998</v>
      </c>
      <c r="BJ8" s="118">
        <f>G8*Navires!$B$6</f>
        <v>1711.1999999999998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7757.44</v>
      </c>
    </row>
    <row r="9" spans="1:73" x14ac:dyDescent="0.25">
      <c r="A9" t="s">
        <v>53</v>
      </c>
      <c r="B9" s="2" t="s">
        <v>41</v>
      </c>
      <c r="C9" s="2">
        <v>1</v>
      </c>
      <c r="D9" s="2">
        <v>1</v>
      </c>
      <c r="E9" s="2">
        <v>0</v>
      </c>
      <c r="F9" s="2">
        <v>5</v>
      </c>
      <c r="G9" s="2">
        <v>4</v>
      </c>
      <c r="H9" s="2">
        <v>2</v>
      </c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13</v>
      </c>
      <c r="S9" s="82">
        <f t="shared" si="1"/>
        <v>3.0373831775700935</v>
      </c>
      <c r="U9" s="2" t="s">
        <v>41</v>
      </c>
      <c r="V9" s="2">
        <f>C9*Navires!$B$2</f>
        <v>1955</v>
      </c>
      <c r="W9" s="2">
        <f>D9*Navires!$C$2</f>
        <v>1955</v>
      </c>
      <c r="X9" s="2">
        <f>E9*Navires!$D$2</f>
        <v>0</v>
      </c>
      <c r="Y9" s="2">
        <f>F9*Navires!$E$2</f>
        <v>9400</v>
      </c>
      <c r="Z9" s="2">
        <f>G9*Navires!$F$2</f>
        <v>7584</v>
      </c>
      <c r="AA9" s="2">
        <f>H9*Navires!$G$2</f>
        <v>4000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24894</v>
      </c>
      <c r="AM9" s="118" t="s">
        <v>41</v>
      </c>
      <c r="AN9" s="118">
        <f>C9*Navires!$B$6</f>
        <v>570.4</v>
      </c>
      <c r="AO9" s="118">
        <f>D9*Navires!$C$6</f>
        <v>570.4</v>
      </c>
      <c r="AP9" s="118">
        <f>E9*Navires!$D$6</f>
        <v>0</v>
      </c>
      <c r="AQ9" s="118">
        <f>F9*Navires!$E$6</f>
        <v>6140</v>
      </c>
      <c r="AR9" s="118">
        <f>G9*Navires!$F$6</f>
        <v>2723.2000000000003</v>
      </c>
      <c r="AS9" s="118">
        <f>H9*Navires!$G$6</f>
        <v>1360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3409.2</v>
      </c>
      <c r="BE9" s="118" t="s">
        <v>41</v>
      </c>
      <c r="BF9" s="118">
        <f>C9*Navires!$B$6</f>
        <v>570.4</v>
      </c>
      <c r="BG9" s="118">
        <f>D9*Navires!$B$6</f>
        <v>570.4</v>
      </c>
      <c r="BH9" s="118">
        <f>E9*Navires!$B$6</f>
        <v>0</v>
      </c>
      <c r="BI9" s="118">
        <f>F9*Navires!$B$6</f>
        <v>2852</v>
      </c>
      <c r="BJ9" s="118">
        <f>G9*Navires!$B$6</f>
        <v>2281.6</v>
      </c>
      <c r="BK9" s="118">
        <f>H9*Navires!$B$6</f>
        <v>1140.8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12605.84</v>
      </c>
    </row>
    <row r="10" spans="1:73" x14ac:dyDescent="0.25">
      <c r="A10" t="s">
        <v>54</v>
      </c>
      <c r="B10" s="2" t="s">
        <v>42</v>
      </c>
      <c r="C10" s="2">
        <v>4</v>
      </c>
      <c r="D10" s="2">
        <v>6</v>
      </c>
      <c r="E10" s="2">
        <v>0</v>
      </c>
      <c r="F10" s="2">
        <v>6</v>
      </c>
      <c r="G10" s="2">
        <v>6</v>
      </c>
      <c r="H10" s="2">
        <v>9</v>
      </c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31</v>
      </c>
      <c r="S10" s="82">
        <f t="shared" si="1"/>
        <v>6.9977426636568856</v>
      </c>
      <c r="U10" s="2" t="s">
        <v>42</v>
      </c>
      <c r="V10" s="2">
        <f>C10*Navires!$B$2</f>
        <v>7820</v>
      </c>
      <c r="W10" s="2">
        <f>D10*Navires!$C$2</f>
        <v>11730</v>
      </c>
      <c r="X10" s="2">
        <f>E10*Navires!$D$2</f>
        <v>0</v>
      </c>
      <c r="Y10" s="2">
        <f>F10*Navires!$E$2</f>
        <v>11280</v>
      </c>
      <c r="Z10" s="2">
        <f>G10*Navires!$F$2</f>
        <v>11376</v>
      </c>
      <c r="AA10" s="2">
        <f>H10*Navires!$G$2</f>
        <v>18000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60206</v>
      </c>
      <c r="AM10" s="118" t="s">
        <v>42</v>
      </c>
      <c r="AN10" s="118">
        <f>C10*Navires!$B$6</f>
        <v>2281.6</v>
      </c>
      <c r="AO10" s="118">
        <f>D10*Navires!$C$6</f>
        <v>3422.3999999999996</v>
      </c>
      <c r="AP10" s="118">
        <f>E10*Navires!$D$6</f>
        <v>0</v>
      </c>
      <c r="AQ10" s="118">
        <f>F10*Navires!$E$6</f>
        <v>7368</v>
      </c>
      <c r="AR10" s="118">
        <f>G10*Navires!$F$6</f>
        <v>4084.8</v>
      </c>
      <c r="AS10" s="118">
        <f>H10*Navires!$G$6</f>
        <v>6120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6983.04</v>
      </c>
      <c r="BE10" s="118" t="s">
        <v>42</v>
      </c>
      <c r="BF10" s="118">
        <f>C10*Navires!$B$6</f>
        <v>2281.6</v>
      </c>
      <c r="BG10" s="118">
        <f>D10*Navires!$B$6</f>
        <v>3422.3999999999996</v>
      </c>
      <c r="BH10" s="118">
        <f>E10*Navires!$B$6</f>
        <v>0</v>
      </c>
      <c r="BI10" s="118">
        <f>F10*Navires!$B$6</f>
        <v>3422.3999999999996</v>
      </c>
      <c r="BJ10" s="118">
        <f>G10*Navires!$B$6</f>
        <v>3422.3999999999996</v>
      </c>
      <c r="BK10" s="118">
        <f>H10*Navires!$B$6</f>
        <v>5133.5999999999995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30060.079999999994</v>
      </c>
    </row>
    <row r="11" spans="1:73" x14ac:dyDescent="0.25">
      <c r="A11" t="s">
        <v>55</v>
      </c>
      <c r="B11" s="2" t="s">
        <v>43</v>
      </c>
      <c r="C11" s="2">
        <v>5</v>
      </c>
      <c r="D11" s="2">
        <v>5</v>
      </c>
      <c r="E11" s="2">
        <v>0</v>
      </c>
      <c r="F11" s="2">
        <v>8</v>
      </c>
      <c r="G11" s="2">
        <v>6</v>
      </c>
      <c r="H11" s="2">
        <v>7</v>
      </c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31</v>
      </c>
      <c r="S11" s="82">
        <f t="shared" si="1"/>
        <v>6.9977426636568856</v>
      </c>
      <c r="U11" s="2" t="s">
        <v>43</v>
      </c>
      <c r="V11" s="2">
        <f>C11*Navires!$B$2</f>
        <v>9775</v>
      </c>
      <c r="W11" s="2">
        <f>D11*Navires!$C$2</f>
        <v>9775</v>
      </c>
      <c r="X11" s="2">
        <f>E11*Navires!$D$2</f>
        <v>0</v>
      </c>
      <c r="Y11" s="2">
        <f>F11*Navires!$E$2</f>
        <v>15040</v>
      </c>
      <c r="Z11" s="2">
        <f>G11*Navires!$F$2</f>
        <v>11376</v>
      </c>
      <c r="AA11" s="2">
        <f>H11*Navires!$G$2</f>
        <v>14000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59966</v>
      </c>
      <c r="AM11" s="118" t="s">
        <v>43</v>
      </c>
      <c r="AN11" s="118">
        <f>C11*Navires!$B$6</f>
        <v>2852</v>
      </c>
      <c r="AO11" s="118">
        <f>D11*Navires!$C$6</f>
        <v>2852</v>
      </c>
      <c r="AP11" s="118">
        <f>E11*Navires!$D$6</f>
        <v>0</v>
      </c>
      <c r="AQ11" s="118">
        <f>F11*Navires!$E$6</f>
        <v>9824</v>
      </c>
      <c r="AR11" s="118">
        <f>G11*Navires!$F$6</f>
        <v>4084.8</v>
      </c>
      <c r="AS11" s="118">
        <f>H11*Navires!$G$6</f>
        <v>4760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7311.8399999999992</v>
      </c>
      <c r="BE11" s="118" t="s">
        <v>43</v>
      </c>
      <c r="BF11" s="118">
        <f>C11*Navires!$B$6</f>
        <v>2852</v>
      </c>
      <c r="BG11" s="118">
        <f>D11*Navires!$B$6</f>
        <v>2852</v>
      </c>
      <c r="BH11" s="118">
        <f>E11*Navires!$B$6</f>
        <v>0</v>
      </c>
      <c r="BI11" s="118">
        <f>F11*Navires!$B$6</f>
        <v>4563.2</v>
      </c>
      <c r="BJ11" s="118">
        <f>G11*Navires!$B$6</f>
        <v>3422.3999999999996</v>
      </c>
      <c r="BK11" s="118">
        <f>H11*Navires!$B$6</f>
        <v>3992.7999999999997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30060.080000000002</v>
      </c>
    </row>
    <row r="12" spans="1:73" x14ac:dyDescent="0.25">
      <c r="A12" t="s">
        <v>56</v>
      </c>
      <c r="B12" s="2" t="s">
        <v>44</v>
      </c>
      <c r="C12" s="2">
        <v>2</v>
      </c>
      <c r="D12" s="2">
        <v>3</v>
      </c>
      <c r="E12" s="2">
        <v>0</v>
      </c>
      <c r="F12" s="2">
        <v>2</v>
      </c>
      <c r="G12" s="2">
        <v>1</v>
      </c>
      <c r="H12" s="2">
        <v>0</v>
      </c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8</v>
      </c>
      <c r="S12" s="82">
        <f t="shared" si="1"/>
        <v>1.8691588785046729</v>
      </c>
      <c r="U12" s="2" t="s">
        <v>44</v>
      </c>
      <c r="V12" s="2">
        <f>C12*Navires!$B$2</f>
        <v>3910</v>
      </c>
      <c r="W12" s="2">
        <f>D12*Navires!$C$2</f>
        <v>5865</v>
      </c>
      <c r="X12" s="2">
        <f>E12*Navires!$D$2</f>
        <v>0</v>
      </c>
      <c r="Y12" s="2">
        <f>F12*Navires!$E$2</f>
        <v>3760</v>
      </c>
      <c r="Z12" s="2">
        <f>G12*Navires!$F$2</f>
        <v>1896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15431</v>
      </c>
      <c r="AM12" s="118" t="s">
        <v>44</v>
      </c>
      <c r="AN12" s="118">
        <f>C12*Navires!$B$6</f>
        <v>1140.8</v>
      </c>
      <c r="AO12" s="118">
        <f>D12*Navires!$C$6</f>
        <v>1711.1999999999998</v>
      </c>
      <c r="AP12" s="118">
        <f>E12*Navires!$D$6</f>
        <v>0</v>
      </c>
      <c r="AQ12" s="118">
        <f>F12*Navires!$E$6</f>
        <v>2456</v>
      </c>
      <c r="AR12" s="118">
        <f>G12*Navires!$F$6</f>
        <v>680.80000000000007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1796.64</v>
      </c>
      <c r="BE12" s="118" t="s">
        <v>44</v>
      </c>
      <c r="BF12" s="118">
        <f>C12*Navires!$B$6</f>
        <v>1140.8</v>
      </c>
      <c r="BG12" s="118">
        <f>D12*Navires!$B$6</f>
        <v>1711.1999999999998</v>
      </c>
      <c r="BH12" s="118">
        <f>E12*Navires!$B$6</f>
        <v>0</v>
      </c>
      <c r="BI12" s="118">
        <f>F12*Navires!$B$6</f>
        <v>1140.8</v>
      </c>
      <c r="BJ12" s="118">
        <f>G12*Navires!$B$6</f>
        <v>570.4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7757.44</v>
      </c>
    </row>
    <row r="13" spans="1:73" x14ac:dyDescent="0.25">
      <c r="A13" t="s">
        <v>57</v>
      </c>
      <c r="B13" s="2" t="s">
        <v>45</v>
      </c>
      <c r="C13" s="2">
        <v>0</v>
      </c>
      <c r="D13" s="2">
        <v>0</v>
      </c>
      <c r="E13" s="2">
        <v>0</v>
      </c>
      <c r="F13" s="2">
        <v>0</v>
      </c>
      <c r="G13" s="2">
        <v>1</v>
      </c>
      <c r="H13" s="2">
        <v>0</v>
      </c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1</v>
      </c>
      <c r="S13" s="82">
        <f t="shared" si="1"/>
        <v>0.22573363431151244</v>
      </c>
      <c r="U13" s="2" t="s">
        <v>45</v>
      </c>
      <c r="V13" s="2">
        <f>C13*Navires!$B$2</f>
        <v>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1896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1896</v>
      </c>
      <c r="AM13" s="118" t="s">
        <v>45</v>
      </c>
      <c r="AN13" s="118">
        <f>C13*Navires!$B$6</f>
        <v>0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680.80000000000007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340.40000000000003</v>
      </c>
      <c r="BE13" s="118" t="s">
        <v>45</v>
      </c>
      <c r="BF13" s="118">
        <f>C13*Navires!$B$6</f>
        <v>0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570.4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969.68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0</v>
      </c>
      <c r="S15" s="82">
        <f t="shared" si="1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13</v>
      </c>
      <c r="D16" s="30">
        <f t="shared" ref="D16:Q16" si="2">SUM(D4:D15)</f>
        <v>16</v>
      </c>
      <c r="E16" s="30">
        <f t="shared" si="2"/>
        <v>0</v>
      </c>
      <c r="F16" s="30">
        <f t="shared" si="2"/>
        <v>25</v>
      </c>
      <c r="G16" s="30">
        <f t="shared" si="2"/>
        <v>22</v>
      </c>
      <c r="H16" s="30">
        <f t="shared" si="2"/>
        <v>19</v>
      </c>
      <c r="I16" s="30">
        <f t="shared" si="2"/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7</v>
      </c>
      <c r="R16" s="34">
        <f t="shared" si="0"/>
        <v>102</v>
      </c>
      <c r="S16" s="82">
        <f t="shared" si="1"/>
        <v>1.956646844427393</v>
      </c>
      <c r="U16" s="29" t="s">
        <v>60</v>
      </c>
      <c r="V16" s="30">
        <f>SUM(V4:V15)</f>
        <v>25415</v>
      </c>
      <c r="W16" s="30">
        <f t="shared" ref="W16:AJ16" si="3">SUM(W4:W15)</f>
        <v>31280</v>
      </c>
      <c r="X16" s="30">
        <f t="shared" si="3"/>
        <v>0</v>
      </c>
      <c r="Y16" s="30">
        <f t="shared" si="3"/>
        <v>47000</v>
      </c>
      <c r="Z16" s="30">
        <f t="shared" si="3"/>
        <v>41712</v>
      </c>
      <c r="AA16" s="30">
        <f t="shared" si="3"/>
        <v>38000</v>
      </c>
      <c r="AB16" s="30">
        <f t="shared" si="3"/>
        <v>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3710</v>
      </c>
      <c r="AM16" s="29" t="s">
        <v>60</v>
      </c>
      <c r="AN16" s="30">
        <f>SUM(AN4:AN15)</f>
        <v>7415.2</v>
      </c>
      <c r="AO16" s="30">
        <f t="shared" ref="AO16:BB16" si="4">SUM(AO4:AO15)</f>
        <v>9126.4</v>
      </c>
      <c r="AP16" s="30">
        <f t="shared" si="4"/>
        <v>0</v>
      </c>
      <c r="AQ16" s="30">
        <f t="shared" si="4"/>
        <v>30700</v>
      </c>
      <c r="AR16" s="30">
        <f t="shared" si="4"/>
        <v>14977.599999999999</v>
      </c>
      <c r="AS16" s="30">
        <f t="shared" si="4"/>
        <v>12920</v>
      </c>
      <c r="AT16" s="30">
        <f t="shared" si="4"/>
        <v>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9128</v>
      </c>
      <c r="BE16" s="29" t="s">
        <v>60</v>
      </c>
      <c r="BF16" s="30">
        <f>SUM(BF4:BF15)</f>
        <v>7415.2</v>
      </c>
      <c r="BG16" s="30">
        <f t="shared" ref="BG16:BT16" si="5">SUM(BG4:BG15)</f>
        <v>9126.4</v>
      </c>
      <c r="BH16" s="30">
        <f t="shared" si="5"/>
        <v>0</v>
      </c>
      <c r="BI16" s="30">
        <f t="shared" si="5"/>
        <v>14260</v>
      </c>
      <c r="BJ16" s="30">
        <f t="shared" si="5"/>
        <v>12548.8</v>
      </c>
      <c r="BK16" s="30">
        <f t="shared" si="5"/>
        <v>10837.599999999999</v>
      </c>
      <c r="BL16" s="30">
        <f t="shared" si="5"/>
        <v>0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3992.8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/>
      <c r="J21" s="2"/>
      <c r="K21" s="2"/>
      <c r="L21" s="2"/>
      <c r="M21" s="2"/>
      <c r="N21" s="2"/>
      <c r="O21" s="2"/>
      <c r="P21" s="2">
        <v>0</v>
      </c>
      <c r="Q21" s="32">
        <v>1</v>
      </c>
      <c r="R21" s="34">
        <f>SUM(C21:Q21)</f>
        <v>1</v>
      </c>
      <c r="S21" s="82">
        <f>R21/R36</f>
        <v>0.22573363431151244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530</v>
      </c>
      <c r="AK21" s="35">
        <f>(SUM(V21:AJ21))*Générale!$B7</f>
        <v>530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1304</v>
      </c>
      <c r="BC21" s="185">
        <f>SUM(AN21:BB21)*Générale!$B$27</f>
        <v>652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570.4</v>
      </c>
      <c r="BU21" s="185">
        <f>SUM(BF21:BT21)*Générale!$B$23</f>
        <v>399.28</v>
      </c>
    </row>
    <row r="22" spans="1:73" x14ac:dyDescent="0.25">
      <c r="A22" t="s">
        <v>49</v>
      </c>
      <c r="B22" s="2" t="s">
        <v>37</v>
      </c>
      <c r="C22" s="2">
        <v>0</v>
      </c>
      <c r="D22" s="2">
        <v>0</v>
      </c>
      <c r="E22">
        <v>0</v>
      </c>
      <c r="F22" s="2">
        <v>0</v>
      </c>
      <c r="G22" s="2">
        <v>0</v>
      </c>
      <c r="H22" s="2">
        <v>0</v>
      </c>
      <c r="I22" s="2"/>
      <c r="J22" s="2"/>
      <c r="K22" s="2"/>
      <c r="L22" s="2"/>
      <c r="M22" s="2"/>
      <c r="N22" s="2"/>
      <c r="O22" s="2"/>
      <c r="P22" s="2">
        <v>0</v>
      </c>
      <c r="Q22" s="32">
        <v>4</v>
      </c>
      <c r="R22" s="34">
        <f t="shared" ref="R22:R33" si="6">SUM(C22:Q22)</f>
        <v>4</v>
      </c>
      <c r="S22" s="82">
        <f t="shared" ref="S22:S33" si="7">R22/R37</f>
        <v>1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2120</v>
      </c>
      <c r="AK22" s="35">
        <f>(SUM(V22:AJ22))*Générale!$B8</f>
        <v>2120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5216</v>
      </c>
      <c r="BC22" s="185">
        <f>SUM(AN22:BB22)*Générale!$B$27</f>
        <v>2608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2281.6</v>
      </c>
      <c r="BU22" s="185">
        <f>SUM(BF22:BT22)*Générale!$B$23</f>
        <v>1597.12</v>
      </c>
    </row>
    <row r="23" spans="1:73" x14ac:dyDescent="0.25">
      <c r="A23" t="s">
        <v>50</v>
      </c>
      <c r="B23" s="2" t="s">
        <v>38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/>
      <c r="J23" s="2"/>
      <c r="K23" s="2"/>
      <c r="L23" s="2"/>
      <c r="M23" s="2"/>
      <c r="N23" s="2"/>
      <c r="O23" s="2"/>
      <c r="P23" s="2">
        <v>0</v>
      </c>
      <c r="Q23" s="32">
        <v>2</v>
      </c>
      <c r="R23" s="34">
        <f t="shared" si="6"/>
        <v>2</v>
      </c>
      <c r="S23" s="82">
        <f t="shared" si="7"/>
        <v>0.45146726862302489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1060</v>
      </c>
      <c r="AK23" s="35">
        <f>(SUM(V23:AJ23))*Générale!$B9</f>
        <v>1060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2608</v>
      </c>
      <c r="BC23" s="185">
        <f>SUM(AN23:BB23)*Générale!$B$27</f>
        <v>1304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1140.8</v>
      </c>
      <c r="BU23" s="185">
        <f>SUM(BF23:BT23)*Générale!$B$23</f>
        <v>798.56</v>
      </c>
    </row>
    <row r="24" spans="1:73" x14ac:dyDescent="0.25">
      <c r="A24" t="s">
        <v>51</v>
      </c>
      <c r="B24" s="2" t="s">
        <v>39</v>
      </c>
      <c r="C24" s="2">
        <v>0</v>
      </c>
      <c r="D24" s="2">
        <v>1</v>
      </c>
      <c r="E24" s="2">
        <v>0</v>
      </c>
      <c r="F24" s="2">
        <v>1</v>
      </c>
      <c r="G24" s="2">
        <v>1</v>
      </c>
      <c r="H24" s="2">
        <v>1</v>
      </c>
      <c r="I24" s="2"/>
      <c r="J24" s="2"/>
      <c r="K24" s="2"/>
      <c r="L24" s="2"/>
      <c r="M24" s="2"/>
      <c r="N24" s="2"/>
      <c r="O24" s="2"/>
      <c r="P24" s="2">
        <v>0</v>
      </c>
      <c r="Q24" s="32"/>
      <c r="R24" s="34">
        <f t="shared" si="6"/>
        <v>4</v>
      </c>
      <c r="S24" s="82">
        <f t="shared" si="7"/>
        <v>0.93457943925233644</v>
      </c>
      <c r="U24" s="2" t="s">
        <v>39</v>
      </c>
      <c r="V24" s="2">
        <f>C24*Navires!$B$2</f>
        <v>0</v>
      </c>
      <c r="W24" s="2">
        <f>D24*Navires!$C$2</f>
        <v>1955</v>
      </c>
      <c r="X24" s="2">
        <f>E24*Navires!$D$2</f>
        <v>0</v>
      </c>
      <c r="Y24" s="2">
        <f>F24*Navires!$E$2</f>
        <v>1880</v>
      </c>
      <c r="Z24" s="2">
        <f>G24*Navires!$F$2</f>
        <v>1896</v>
      </c>
      <c r="AA24" s="2">
        <f>H24*Navires!$G$2</f>
        <v>2000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7731</v>
      </c>
      <c r="AM24" s="118" t="s">
        <v>39</v>
      </c>
      <c r="AN24" s="118">
        <f>C24*Navires!$B$6</f>
        <v>0</v>
      </c>
      <c r="AO24" s="118">
        <f>D24*Navires!$C$6</f>
        <v>570.4</v>
      </c>
      <c r="AP24" s="118">
        <f>E24*Navires!$D$6</f>
        <v>0</v>
      </c>
      <c r="AQ24" s="118">
        <f>F24*Navires!$E$6</f>
        <v>1228</v>
      </c>
      <c r="AR24" s="118">
        <f>G24*Navires!$F$6</f>
        <v>680.80000000000007</v>
      </c>
      <c r="AS24" s="118">
        <f>H24*Navires!$G$6</f>
        <v>680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1579.6000000000001</v>
      </c>
      <c r="BE24" s="118" t="s">
        <v>39</v>
      </c>
      <c r="BF24" s="118">
        <f>C24*Navires!$B$6</f>
        <v>0</v>
      </c>
      <c r="BG24" s="118">
        <f>D24*Navires!$B$6</f>
        <v>570.4</v>
      </c>
      <c r="BH24" s="118">
        <f>E24*Navires!$B$6</f>
        <v>0</v>
      </c>
      <c r="BI24" s="118">
        <f>F24*Navires!$B$6</f>
        <v>570.4</v>
      </c>
      <c r="BJ24" s="118">
        <f>G24*Navires!$B$6</f>
        <v>570.4</v>
      </c>
      <c r="BK24" s="118">
        <f>H24*Navires!$B$6</f>
        <v>570.4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3878.72</v>
      </c>
    </row>
    <row r="25" spans="1:73" x14ac:dyDescent="0.25">
      <c r="A25" t="s">
        <v>52</v>
      </c>
      <c r="B25" s="2" t="s">
        <v>40</v>
      </c>
      <c r="C25" s="2">
        <v>0</v>
      </c>
      <c r="D25" s="2">
        <v>1</v>
      </c>
      <c r="E25" s="2">
        <v>0</v>
      </c>
      <c r="F25" s="2">
        <v>3</v>
      </c>
      <c r="G25" s="2">
        <v>2</v>
      </c>
      <c r="H25" s="2">
        <v>0</v>
      </c>
      <c r="I25" s="2"/>
      <c r="J25" s="2"/>
      <c r="K25" s="2"/>
      <c r="L25" s="2"/>
      <c r="M25" s="2"/>
      <c r="N25" s="2"/>
      <c r="O25" s="2"/>
      <c r="P25" s="2">
        <v>0</v>
      </c>
      <c r="Q25" s="32"/>
      <c r="R25" s="34">
        <f t="shared" si="6"/>
        <v>6</v>
      </c>
      <c r="S25" s="82">
        <f t="shared" si="7"/>
        <v>1.3544018058690745</v>
      </c>
      <c r="U25" s="2" t="s">
        <v>40</v>
      </c>
      <c r="V25" s="2">
        <f>C25*Navires!$B$2</f>
        <v>0</v>
      </c>
      <c r="W25" s="2">
        <f>D25*Navires!$C$2</f>
        <v>1955</v>
      </c>
      <c r="X25" s="2">
        <f>E25*Navires!$D$2</f>
        <v>0</v>
      </c>
      <c r="Y25" s="2">
        <f>F25*Navires!$E$2</f>
        <v>5640</v>
      </c>
      <c r="Z25" s="2">
        <f>G25*Navires!$F$2</f>
        <v>3792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11387</v>
      </c>
      <c r="AM25" s="118" t="s">
        <v>40</v>
      </c>
      <c r="AN25" s="118">
        <f>C25*Navires!$B$6</f>
        <v>0</v>
      </c>
      <c r="AO25" s="118">
        <f>D25*Navires!$C$6</f>
        <v>570.4</v>
      </c>
      <c r="AP25" s="118">
        <f>E25*Navires!$D$6</f>
        <v>0</v>
      </c>
      <c r="AQ25" s="118">
        <f>F25*Navires!$E$6</f>
        <v>3684</v>
      </c>
      <c r="AR25" s="118">
        <f>G25*Navires!$F$6</f>
        <v>1361.6000000000001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1684.8</v>
      </c>
      <c r="BE25" s="118" t="s">
        <v>40</v>
      </c>
      <c r="BF25" s="118">
        <f>C25*Navires!$B$6</f>
        <v>0</v>
      </c>
      <c r="BG25" s="118">
        <f>D25*Navires!$B$6</f>
        <v>570.4</v>
      </c>
      <c r="BH25" s="118">
        <f>E25*Navires!$B$6</f>
        <v>0</v>
      </c>
      <c r="BI25" s="118">
        <f>F25*Navires!$B$6</f>
        <v>1711.1999999999998</v>
      </c>
      <c r="BJ25" s="118">
        <f>G25*Navires!$B$6</f>
        <v>1140.8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5818.079999999999</v>
      </c>
    </row>
    <row r="26" spans="1:73" x14ac:dyDescent="0.25">
      <c r="A26" t="s">
        <v>53</v>
      </c>
      <c r="B26" s="2" t="s">
        <v>41</v>
      </c>
      <c r="C26" s="2">
        <v>1</v>
      </c>
      <c r="D26" s="2">
        <v>1</v>
      </c>
      <c r="E26" s="2">
        <v>0</v>
      </c>
      <c r="F26" s="2">
        <v>5</v>
      </c>
      <c r="G26" s="2">
        <v>4</v>
      </c>
      <c r="H26" s="2">
        <v>1</v>
      </c>
      <c r="I26" s="2"/>
      <c r="J26" s="2"/>
      <c r="K26" s="2"/>
      <c r="L26" s="2"/>
      <c r="M26" s="2"/>
      <c r="N26" s="2"/>
      <c r="O26" s="2"/>
      <c r="P26" s="2">
        <v>0</v>
      </c>
      <c r="Q26" s="32"/>
      <c r="R26" s="34">
        <f t="shared" si="6"/>
        <v>12</v>
      </c>
      <c r="S26" s="82">
        <f t="shared" si="7"/>
        <v>2.8037383177570092</v>
      </c>
      <c r="U26" s="2" t="s">
        <v>41</v>
      </c>
      <c r="V26" s="2">
        <f>C26*Navires!$B$2</f>
        <v>1955</v>
      </c>
      <c r="W26" s="2">
        <f>D26*Navires!$C$2</f>
        <v>1955</v>
      </c>
      <c r="X26" s="2">
        <f>E26*Navires!$D$2</f>
        <v>0</v>
      </c>
      <c r="Y26" s="2">
        <f>F26*Navires!$E$2</f>
        <v>9400</v>
      </c>
      <c r="Z26" s="2">
        <f>G26*Navires!$F$2</f>
        <v>7584</v>
      </c>
      <c r="AA26" s="2">
        <f>H26*Navires!$G$2</f>
        <v>2000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22894</v>
      </c>
      <c r="AM26" s="118" t="s">
        <v>41</v>
      </c>
      <c r="AN26" s="118">
        <f>C26*Navires!$B$6</f>
        <v>570.4</v>
      </c>
      <c r="AO26" s="118">
        <f>D26*Navires!$C$6</f>
        <v>570.4</v>
      </c>
      <c r="AP26" s="118">
        <f>E26*Navires!$D$6</f>
        <v>0</v>
      </c>
      <c r="AQ26" s="118">
        <f>F26*Navires!$E$6</f>
        <v>6140</v>
      </c>
      <c r="AR26" s="118">
        <f>G26*Navires!$F$6</f>
        <v>2723.2000000000003</v>
      </c>
      <c r="AS26" s="118">
        <f>H26*Navires!$G$6</f>
        <v>680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3205.2</v>
      </c>
      <c r="BE26" s="118" t="s">
        <v>41</v>
      </c>
      <c r="BF26" s="118">
        <f>C26*Navires!$B$6</f>
        <v>570.4</v>
      </c>
      <c r="BG26" s="118">
        <f>D26*Navires!$B$6</f>
        <v>570.4</v>
      </c>
      <c r="BH26" s="118">
        <f>E26*Navires!$B$6</f>
        <v>0</v>
      </c>
      <c r="BI26" s="118">
        <f>F26*Navires!$B$6</f>
        <v>2852</v>
      </c>
      <c r="BJ26" s="118">
        <f>G26*Navires!$B$6</f>
        <v>2281.6</v>
      </c>
      <c r="BK26" s="118">
        <f>H26*Navires!$B$6</f>
        <v>570.4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11636.159999999998</v>
      </c>
    </row>
    <row r="27" spans="1:73" x14ac:dyDescent="0.25">
      <c r="A27" t="s">
        <v>54</v>
      </c>
      <c r="B27" s="2" t="s">
        <v>42</v>
      </c>
      <c r="C27" s="2">
        <v>5</v>
      </c>
      <c r="D27" s="2">
        <v>4</v>
      </c>
      <c r="E27" s="2">
        <v>0</v>
      </c>
      <c r="F27" s="2">
        <v>6</v>
      </c>
      <c r="G27" s="2">
        <v>6</v>
      </c>
      <c r="H27" s="2">
        <v>4</v>
      </c>
      <c r="I27" s="2"/>
      <c r="J27" s="2"/>
      <c r="K27" s="2"/>
      <c r="L27" s="2"/>
      <c r="M27" s="2"/>
      <c r="N27" s="2"/>
      <c r="O27" s="2"/>
      <c r="P27" s="2">
        <v>0</v>
      </c>
      <c r="Q27" s="32"/>
      <c r="R27" s="34">
        <f t="shared" si="6"/>
        <v>25</v>
      </c>
      <c r="S27" s="82">
        <f t="shared" si="7"/>
        <v>5.6433408577878108</v>
      </c>
      <c r="U27" s="2" t="s">
        <v>42</v>
      </c>
      <c r="V27" s="2">
        <f>C27*Navires!$B$2</f>
        <v>9775</v>
      </c>
      <c r="W27" s="2">
        <f>D27*Navires!$C$2</f>
        <v>7820</v>
      </c>
      <c r="X27" s="2">
        <f>E27*Navires!$D$2</f>
        <v>0</v>
      </c>
      <c r="Y27" s="2">
        <f>F27*Navires!$E$2</f>
        <v>11280</v>
      </c>
      <c r="Z27" s="2">
        <f>G27*Navires!$F$2</f>
        <v>11376</v>
      </c>
      <c r="AA27" s="2">
        <f>H27*Navires!$G$2</f>
        <v>8000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48251</v>
      </c>
      <c r="AM27" s="118" t="s">
        <v>42</v>
      </c>
      <c r="AN27" s="118">
        <f>C27*Navires!$B$6</f>
        <v>2852</v>
      </c>
      <c r="AO27" s="118">
        <f>D27*Navires!$C$6</f>
        <v>2281.6</v>
      </c>
      <c r="AP27" s="118">
        <f>E27*Navires!$D$6</f>
        <v>0</v>
      </c>
      <c r="AQ27" s="118">
        <f>F27*Navires!$E$6</f>
        <v>7368</v>
      </c>
      <c r="AR27" s="118">
        <f>G27*Navires!$F$6</f>
        <v>4084.8</v>
      </c>
      <c r="AS27" s="118">
        <f>H27*Navires!$G$6</f>
        <v>2720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5791.92</v>
      </c>
      <c r="BE27" s="118" t="s">
        <v>42</v>
      </c>
      <c r="BF27" s="118">
        <f>C27*Navires!$B$6</f>
        <v>2852</v>
      </c>
      <c r="BG27" s="118">
        <f>D27*Navires!$B$6</f>
        <v>2281.6</v>
      </c>
      <c r="BH27" s="118">
        <f>E27*Navires!$B$6</f>
        <v>0</v>
      </c>
      <c r="BI27" s="118">
        <f>F27*Navires!$B$6</f>
        <v>3422.3999999999996</v>
      </c>
      <c r="BJ27" s="118">
        <f>G27*Navires!$B$6</f>
        <v>3422.3999999999996</v>
      </c>
      <c r="BK27" s="118">
        <f>H27*Navires!$B$6</f>
        <v>2281.6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24242</v>
      </c>
    </row>
    <row r="28" spans="1:73" x14ac:dyDescent="0.25">
      <c r="A28" t="s">
        <v>55</v>
      </c>
      <c r="B28" s="2" t="s">
        <v>43</v>
      </c>
      <c r="C28" s="2">
        <v>5</v>
      </c>
      <c r="D28" s="2">
        <v>5</v>
      </c>
      <c r="E28" s="2">
        <v>0</v>
      </c>
      <c r="F28" s="2">
        <v>8</v>
      </c>
      <c r="G28" s="2">
        <v>6</v>
      </c>
      <c r="H28" s="2">
        <v>5</v>
      </c>
      <c r="I28" s="2"/>
      <c r="J28" s="2"/>
      <c r="K28" s="2"/>
      <c r="L28" s="2"/>
      <c r="M28" s="2"/>
      <c r="N28" s="2"/>
      <c r="O28" s="2"/>
      <c r="P28" s="2">
        <v>11</v>
      </c>
      <c r="Q28" s="32"/>
      <c r="R28" s="34">
        <f t="shared" si="6"/>
        <v>40</v>
      </c>
      <c r="S28" s="82">
        <f t="shared" si="7"/>
        <v>9.0293453724604973</v>
      </c>
      <c r="U28" s="2" t="s">
        <v>43</v>
      </c>
      <c r="V28" s="2">
        <f>C28*Navires!$B$2</f>
        <v>9775</v>
      </c>
      <c r="W28" s="2">
        <f>D28*Navires!$C$2</f>
        <v>9775</v>
      </c>
      <c r="X28" s="2">
        <f>E28*Navires!$D$2</f>
        <v>0</v>
      </c>
      <c r="Y28" s="2">
        <f>F28*Navires!$E$2</f>
        <v>15040</v>
      </c>
      <c r="Z28" s="2">
        <f>G28*Navires!$F$2</f>
        <v>11376</v>
      </c>
      <c r="AA28" s="2">
        <f>H28*Navires!$G$2</f>
        <v>10000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16500</v>
      </c>
      <c r="AJ28" s="2">
        <f>Q28*Navires!$P$2</f>
        <v>0</v>
      </c>
      <c r="AK28" s="35">
        <f>(SUM(V28:AJ28))*Générale!$B14</f>
        <v>72466</v>
      </c>
      <c r="AM28" s="118" t="s">
        <v>43</v>
      </c>
      <c r="AN28" s="118">
        <f>C28*Navires!$B$6</f>
        <v>2852</v>
      </c>
      <c r="AO28" s="118">
        <f>D28*Navires!$C$6</f>
        <v>2852</v>
      </c>
      <c r="AP28" s="118">
        <f>E28*Navires!$D$6</f>
        <v>0</v>
      </c>
      <c r="AQ28" s="118">
        <f>F28*Navires!$E$6</f>
        <v>9824</v>
      </c>
      <c r="AR28" s="118">
        <f>G28*Navires!$F$6</f>
        <v>4084.8</v>
      </c>
      <c r="AS28" s="118">
        <f>H28*Navires!$G$6</f>
        <v>3400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7040</v>
      </c>
      <c r="BB28" s="118">
        <f>Q28*Navires!$P$6</f>
        <v>0</v>
      </c>
      <c r="BC28" s="185">
        <f>SUM(AN28:BB28)*Générale!$B$26</f>
        <v>9015.84</v>
      </c>
      <c r="BE28" s="118" t="s">
        <v>43</v>
      </c>
      <c r="BF28" s="118">
        <f>C28*Navires!$B$6</f>
        <v>2852</v>
      </c>
      <c r="BG28" s="118">
        <f>D28*Navires!$B$6</f>
        <v>2852</v>
      </c>
      <c r="BH28" s="118">
        <f>E28*Navires!$B$6</f>
        <v>0</v>
      </c>
      <c r="BI28" s="118">
        <f>F28*Navires!$B$6</f>
        <v>4563.2</v>
      </c>
      <c r="BJ28" s="118">
        <f>G28*Navires!$B$6</f>
        <v>3422.3999999999996</v>
      </c>
      <c r="BK28" s="118">
        <f>H28*Navires!$B$6</f>
        <v>2852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6274.4</v>
      </c>
      <c r="BT28" s="118">
        <f>Q28*Navires!$B$6</f>
        <v>0</v>
      </c>
      <c r="BU28" s="185">
        <f>SUM(BF28:BT28)*Générale!$B$22</f>
        <v>38787.199999999997</v>
      </c>
    </row>
    <row r="29" spans="1:73" x14ac:dyDescent="0.25">
      <c r="A29" t="s">
        <v>56</v>
      </c>
      <c r="B29" s="2" t="s">
        <v>44</v>
      </c>
      <c r="C29" s="2">
        <v>2</v>
      </c>
      <c r="D29" s="2">
        <v>4</v>
      </c>
      <c r="E29" s="2">
        <v>0</v>
      </c>
      <c r="F29" s="2">
        <v>1</v>
      </c>
      <c r="G29" s="2">
        <v>1</v>
      </c>
      <c r="H29" s="2">
        <v>0</v>
      </c>
      <c r="I29" s="2"/>
      <c r="J29" s="2"/>
      <c r="K29" s="2"/>
      <c r="L29" s="2"/>
      <c r="M29" s="2"/>
      <c r="N29" s="2"/>
      <c r="O29" s="2"/>
      <c r="P29" s="2">
        <v>0</v>
      </c>
      <c r="Q29" s="32"/>
      <c r="R29" s="34">
        <f t="shared" si="6"/>
        <v>8</v>
      </c>
      <c r="S29" s="82">
        <f t="shared" si="7"/>
        <v>1.8691588785046729</v>
      </c>
      <c r="U29" s="2" t="s">
        <v>44</v>
      </c>
      <c r="V29" s="2">
        <f>C29*Navires!$B$2</f>
        <v>3910</v>
      </c>
      <c r="W29" s="2">
        <f>D29*Navires!$C$2</f>
        <v>7820</v>
      </c>
      <c r="X29" s="2">
        <f>E29*Navires!$D$2</f>
        <v>0</v>
      </c>
      <c r="Y29" s="2">
        <f>F29*Navires!$E$2</f>
        <v>1880</v>
      </c>
      <c r="Z29" s="2">
        <f>G29*Navires!$F$2</f>
        <v>1896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15506</v>
      </c>
      <c r="AM29" s="118" t="s">
        <v>44</v>
      </c>
      <c r="AN29" s="118">
        <f>C29*Navires!$B$6</f>
        <v>1140.8</v>
      </c>
      <c r="AO29" s="118">
        <f>D29*Navires!$C$6</f>
        <v>2281.6</v>
      </c>
      <c r="AP29" s="118">
        <f>E29*Navires!$D$6</f>
        <v>0</v>
      </c>
      <c r="AQ29" s="118">
        <f>F29*Navires!$E$6</f>
        <v>1228</v>
      </c>
      <c r="AR29" s="118">
        <f>G29*Navires!$F$6</f>
        <v>680.80000000000007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1599.36</v>
      </c>
      <c r="BE29" s="118" t="s">
        <v>44</v>
      </c>
      <c r="BF29" s="118">
        <f>C29*Navires!$B$6</f>
        <v>1140.8</v>
      </c>
      <c r="BG29" s="118">
        <f>D29*Navires!$B$6</f>
        <v>2281.6</v>
      </c>
      <c r="BH29" s="118">
        <f>E29*Navires!$B$6</f>
        <v>0</v>
      </c>
      <c r="BI29" s="118">
        <f>F29*Navires!$B$6</f>
        <v>570.4</v>
      </c>
      <c r="BJ29" s="118">
        <f>G29*Navires!$B$6</f>
        <v>570.4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7757.44</v>
      </c>
    </row>
    <row r="30" spans="1:73" x14ac:dyDescent="0.25">
      <c r="A30" t="s">
        <v>57</v>
      </c>
      <c r="B30" s="2" t="s">
        <v>45</v>
      </c>
      <c r="C30" s="2">
        <v>0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/>
      <c r="J30" s="2"/>
      <c r="K30" s="2"/>
      <c r="L30" s="2"/>
      <c r="M30" s="2"/>
      <c r="N30" s="2"/>
      <c r="O30" s="2"/>
      <c r="P30" s="2">
        <v>0</v>
      </c>
      <c r="Q30" s="32"/>
      <c r="R30" s="34">
        <f t="shared" si="6"/>
        <v>1</v>
      </c>
      <c r="S30" s="82">
        <f t="shared" si="7"/>
        <v>0.22573363431151244</v>
      </c>
      <c r="U30" s="2" t="s">
        <v>45</v>
      </c>
      <c r="V30" s="2">
        <f>C30*Navires!$B$2</f>
        <v>0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1896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1896</v>
      </c>
      <c r="AM30" s="118" t="s">
        <v>45</v>
      </c>
      <c r="AN30" s="118">
        <f>C30*Navires!$B$6</f>
        <v>0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680.80000000000007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340.40000000000003</v>
      </c>
      <c r="BE30" s="118" t="s">
        <v>45</v>
      </c>
      <c r="BF30" s="118">
        <f>C30*Navires!$B$6</f>
        <v>0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570.4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969.68</v>
      </c>
    </row>
    <row r="31" spans="1:73" x14ac:dyDescent="0.25">
      <c r="A31" t="s">
        <v>58</v>
      </c>
      <c r="B31" s="2" t="s">
        <v>46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/>
      <c r="J31" s="2"/>
      <c r="K31" s="2"/>
      <c r="L31" s="2"/>
      <c r="M31" s="2"/>
      <c r="N31" s="2"/>
      <c r="O31" s="2"/>
      <c r="P31" s="2">
        <v>0</v>
      </c>
      <c r="Q31" s="32"/>
      <c r="R31" s="34">
        <f t="shared" si="6"/>
        <v>0</v>
      </c>
      <c r="S31" s="82">
        <f t="shared" si="7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/>
      <c r="J32" s="2"/>
      <c r="K32" s="2"/>
      <c r="L32" s="2"/>
      <c r="M32" s="2"/>
      <c r="N32" s="2"/>
      <c r="O32" s="2"/>
      <c r="P32" s="2">
        <v>0</v>
      </c>
      <c r="Q32" s="32"/>
      <c r="R32" s="34">
        <f t="shared" si="6"/>
        <v>0</v>
      </c>
      <c r="S32" s="82">
        <f t="shared" si="7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13</v>
      </c>
      <c r="D33" s="34">
        <f t="shared" ref="D33:E33" si="8">SUM(D21:D32)</f>
        <v>16</v>
      </c>
      <c r="E33" s="34">
        <f t="shared" si="8"/>
        <v>0</v>
      </c>
      <c r="F33" s="34">
        <f>SUM(F21:F32)</f>
        <v>24</v>
      </c>
      <c r="G33" s="34">
        <f>SUM(G21:G32)</f>
        <v>21</v>
      </c>
      <c r="H33" s="34">
        <f t="shared" ref="H33:Q33" si="9">SUM(H21:H32)</f>
        <v>11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11</v>
      </c>
      <c r="Q33" s="34">
        <f t="shared" si="9"/>
        <v>7</v>
      </c>
      <c r="R33" s="34">
        <f t="shared" si="6"/>
        <v>103</v>
      </c>
      <c r="S33" s="82">
        <f t="shared" si="7"/>
        <v>1.9758296566276614</v>
      </c>
      <c r="U33" s="34" t="s">
        <v>60</v>
      </c>
      <c r="V33" s="34">
        <f>SUM(V21:V32)</f>
        <v>25415</v>
      </c>
      <c r="W33" s="34">
        <f t="shared" ref="W33:AJ33" si="10">SUM(W21:W32)</f>
        <v>31280</v>
      </c>
      <c r="X33" s="34">
        <f t="shared" si="10"/>
        <v>0</v>
      </c>
      <c r="Y33" s="34">
        <f t="shared" si="10"/>
        <v>45120</v>
      </c>
      <c r="Z33" s="34">
        <f t="shared" si="10"/>
        <v>39816</v>
      </c>
      <c r="AA33" s="34">
        <f t="shared" si="10"/>
        <v>22000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16500</v>
      </c>
      <c r="AJ33" s="34">
        <f t="shared" si="10"/>
        <v>3710</v>
      </c>
      <c r="AK33" s="121"/>
      <c r="AM33" s="34" t="s">
        <v>60</v>
      </c>
      <c r="AN33" s="34">
        <f>SUM(AN21:AN32)</f>
        <v>7415.2</v>
      </c>
      <c r="AO33" s="34">
        <f t="shared" ref="AO33:BB33" si="11">SUM(AO21:AO32)</f>
        <v>9126.4</v>
      </c>
      <c r="AP33" s="34">
        <f t="shared" si="11"/>
        <v>0</v>
      </c>
      <c r="AQ33" s="34">
        <f t="shared" si="11"/>
        <v>29472</v>
      </c>
      <c r="AR33" s="34">
        <f t="shared" si="11"/>
        <v>14296.8</v>
      </c>
      <c r="AS33" s="34">
        <f t="shared" si="11"/>
        <v>7480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7040</v>
      </c>
      <c r="BB33" s="34">
        <f t="shared" si="11"/>
        <v>9128</v>
      </c>
      <c r="BC33" s="118"/>
      <c r="BE33" s="34" t="s">
        <v>60</v>
      </c>
      <c r="BF33" s="118">
        <f>C33*Navires!$B$6</f>
        <v>7415.2</v>
      </c>
      <c r="BG33" s="118">
        <f>D33*Navires!$B$6</f>
        <v>9126.4</v>
      </c>
      <c r="BH33" s="118">
        <f>E33*Navires!$B$6</f>
        <v>0</v>
      </c>
      <c r="BI33" s="118">
        <f>F33*Navires!$B$6</f>
        <v>13689.599999999999</v>
      </c>
      <c r="BJ33" s="118">
        <f>G33*Navires!$B$6</f>
        <v>11978.4</v>
      </c>
      <c r="BK33" s="118">
        <f>H33*Navires!$B$6</f>
        <v>6274.4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6274.4</v>
      </c>
      <c r="BT33" s="118">
        <f>Q33*Navires!$B$6</f>
        <v>3992.7999999999997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0"/>
  <sheetViews>
    <sheetView topLeftCell="BF1" workbookViewId="0">
      <selection activeCell="BU1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2"/>
      <c r="R4" s="34">
        <f>SUM(C4:Q4)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t="s">
        <v>49</v>
      </c>
      <c r="B5" s="2" t="s">
        <v>37</v>
      </c>
      <c r="C5" s="2"/>
      <c r="D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0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0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0</v>
      </c>
    </row>
    <row r="6" spans="1:73" x14ac:dyDescent="0.25">
      <c r="A6" t="s">
        <v>50</v>
      </c>
      <c r="B6" s="2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2"/>
      <c r="R6" s="34">
        <f t="shared" si="0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2"/>
      <c r="R7" s="34">
        <f t="shared" si="0"/>
        <v>0</v>
      </c>
      <c r="U7" s="2" t="s">
        <v>39</v>
      </c>
      <c r="V7" s="2">
        <f>C7*Navires!$B$2</f>
        <v>0</v>
      </c>
      <c r="W7" s="2">
        <f>D7*Navires!$C$2</f>
        <v>0</v>
      </c>
      <c r="X7" s="2">
        <f>E7*Navires!$D$2</f>
        <v>0</v>
      </c>
      <c r="Y7" s="2">
        <f>F7*Navires!$E$2</f>
        <v>0</v>
      </c>
      <c r="Z7" s="2">
        <f>G7*Navires!$F$2</f>
        <v>0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0</v>
      </c>
      <c r="AM7" s="118" t="s">
        <v>39</v>
      </c>
      <c r="AN7" s="118">
        <f>C7*Navires!$B$6</f>
        <v>0</v>
      </c>
      <c r="AO7" s="118">
        <f>D7*Navires!$C$6</f>
        <v>0</v>
      </c>
      <c r="AP7" s="118">
        <f>E7*Navires!$D$6</f>
        <v>0</v>
      </c>
      <c r="AQ7" s="118">
        <f>F7*Navires!$E$6</f>
        <v>0</v>
      </c>
      <c r="AR7" s="118">
        <f>G7*Navires!$F$6</f>
        <v>0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0</v>
      </c>
      <c r="BE7" s="118" t="s">
        <v>39</v>
      </c>
      <c r="BF7" s="118">
        <f>C7*Navires!$B$6</f>
        <v>0</v>
      </c>
      <c r="BG7" s="118">
        <f>D7*Navires!$B$6</f>
        <v>0</v>
      </c>
      <c r="BH7" s="118">
        <f>E7*Navires!$B$6</f>
        <v>0</v>
      </c>
      <c r="BI7" s="118">
        <f>F7*Navires!$B$6</f>
        <v>0</v>
      </c>
      <c r="BJ7" s="118">
        <f>G7*Navires!$B$6</f>
        <v>0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0</v>
      </c>
    </row>
    <row r="8" spans="1:73" x14ac:dyDescent="0.25">
      <c r="A8" t="s">
        <v>52</v>
      </c>
      <c r="B8" s="2" t="s">
        <v>40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2"/>
      <c r="R8" s="34">
        <f t="shared" si="0"/>
        <v>0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0</v>
      </c>
      <c r="Z8" s="2">
        <f>G8*Navires!$F$2</f>
        <v>0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0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0</v>
      </c>
      <c r="AR8" s="118">
        <f>G8*Navires!$F$6</f>
        <v>0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0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0</v>
      </c>
      <c r="BJ8" s="118">
        <f>G8*Navires!$B$6</f>
        <v>0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0</v>
      </c>
    </row>
    <row r="9" spans="1:73" x14ac:dyDescent="0.25">
      <c r="A9" t="s">
        <v>53</v>
      </c>
      <c r="B9" s="2" t="s">
        <v>41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2"/>
      <c r="R9" s="34">
        <f t="shared" si="0"/>
        <v>0</v>
      </c>
      <c r="U9" s="2" t="s">
        <v>41</v>
      </c>
      <c r="V9" s="2">
        <f>C9*Navires!$B$2</f>
        <v>0</v>
      </c>
      <c r="W9" s="2">
        <f>D9*Navires!$C$2</f>
        <v>0</v>
      </c>
      <c r="X9" s="2">
        <f>E9*Navires!$D$2</f>
        <v>0</v>
      </c>
      <c r="Y9" s="2">
        <f>F9*Navires!$E$2</f>
        <v>0</v>
      </c>
      <c r="Z9" s="2">
        <f>G9*Navires!$F$2</f>
        <v>0</v>
      </c>
      <c r="AA9" s="2">
        <f>H9*Navires!$G$2</f>
        <v>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0</v>
      </c>
      <c r="AM9" s="118" t="s">
        <v>41</v>
      </c>
      <c r="AN9" s="118">
        <f>C9*Navires!$B$6</f>
        <v>0</v>
      </c>
      <c r="AO9" s="118">
        <f>D9*Navires!$C$6</f>
        <v>0</v>
      </c>
      <c r="AP9" s="118">
        <f>E9*Navires!$D$6</f>
        <v>0</v>
      </c>
      <c r="AQ9" s="118">
        <f>F9*Navires!$E$6</f>
        <v>0</v>
      </c>
      <c r="AR9" s="118">
        <f>G9*Navires!$F$6</f>
        <v>0</v>
      </c>
      <c r="AS9" s="118">
        <f>H9*Navires!$G$6</f>
        <v>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0</v>
      </c>
      <c r="BE9" s="118" t="s">
        <v>41</v>
      </c>
      <c r="BF9" s="118">
        <f>C9*Navires!$B$6</f>
        <v>0</v>
      </c>
      <c r="BG9" s="118">
        <f>D9*Navires!$B$6</f>
        <v>0</v>
      </c>
      <c r="BH9" s="118">
        <f>E9*Navires!$B$6</f>
        <v>0</v>
      </c>
      <c r="BI9" s="118">
        <f>F9*Navires!$B$6</f>
        <v>0</v>
      </c>
      <c r="BJ9" s="118">
        <f>G9*Navires!$B$6</f>
        <v>0</v>
      </c>
      <c r="BK9" s="118">
        <f>H9*Navires!$B$6</f>
        <v>0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0</v>
      </c>
    </row>
    <row r="10" spans="1:73" x14ac:dyDescent="0.25">
      <c r="A10" t="s">
        <v>54</v>
      </c>
      <c r="B10" s="2" t="s">
        <v>42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2"/>
      <c r="R10" s="34">
        <f t="shared" si="0"/>
        <v>0</v>
      </c>
      <c r="U10" s="2" t="s">
        <v>42</v>
      </c>
      <c r="V10" s="2">
        <f>C10*Navires!$B$2</f>
        <v>0</v>
      </c>
      <c r="W10" s="2">
        <f>D10*Navires!$C$2</f>
        <v>0</v>
      </c>
      <c r="X10" s="2">
        <f>E10*Navires!$D$2</f>
        <v>0</v>
      </c>
      <c r="Y10" s="2">
        <f>F10*Navires!$E$2</f>
        <v>0</v>
      </c>
      <c r="Z10" s="2">
        <f>G10*Navires!$F$2</f>
        <v>0</v>
      </c>
      <c r="AA10" s="2">
        <f>H10*Navires!$G$2</f>
        <v>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0</v>
      </c>
      <c r="AM10" s="118" t="s">
        <v>42</v>
      </c>
      <c r="AN10" s="118">
        <f>C10*Navires!$B$6</f>
        <v>0</v>
      </c>
      <c r="AO10" s="118">
        <f>D10*Navires!$C$6</f>
        <v>0</v>
      </c>
      <c r="AP10" s="118">
        <f>E10*Navires!$D$6</f>
        <v>0</v>
      </c>
      <c r="AQ10" s="118">
        <f>F10*Navires!$E$6</f>
        <v>0</v>
      </c>
      <c r="AR10" s="118">
        <f>G10*Navires!$F$6</f>
        <v>0</v>
      </c>
      <c r="AS10" s="118">
        <f>H10*Navires!$G$6</f>
        <v>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0</v>
      </c>
      <c r="BE10" s="118" t="s">
        <v>42</v>
      </c>
      <c r="BF10" s="118">
        <f>C10*Navires!$B$6</f>
        <v>0</v>
      </c>
      <c r="BG10" s="118">
        <f>D10*Navires!$B$6</f>
        <v>0</v>
      </c>
      <c r="BH10" s="118">
        <f>E10*Navires!$B$6</f>
        <v>0</v>
      </c>
      <c r="BI10" s="118">
        <f>F10*Navires!$B$6</f>
        <v>0</v>
      </c>
      <c r="BJ10" s="118">
        <f>G10*Navires!$B$6</f>
        <v>0</v>
      </c>
      <c r="BK10" s="118">
        <f>H10*Navires!$B$6</f>
        <v>0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0</v>
      </c>
    </row>
    <row r="11" spans="1:73" x14ac:dyDescent="0.25">
      <c r="A11" t="s">
        <v>55</v>
      </c>
      <c r="B11" s="2" t="s">
        <v>43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2"/>
      <c r="R11" s="34">
        <f t="shared" si="0"/>
        <v>0</v>
      </c>
      <c r="U11" s="2" t="s">
        <v>43</v>
      </c>
      <c r="V11" s="2">
        <f>C11*Navires!$B$2</f>
        <v>0</v>
      </c>
      <c r="W11" s="2">
        <f>D11*Navires!$C$2</f>
        <v>0</v>
      </c>
      <c r="X11" s="2">
        <f>E11*Navires!$D$2</f>
        <v>0</v>
      </c>
      <c r="Y11" s="2">
        <f>F11*Navires!$E$2</f>
        <v>0</v>
      </c>
      <c r="Z11" s="2">
        <f>G11*Navires!$F$2</f>
        <v>0</v>
      </c>
      <c r="AA11" s="2">
        <f>H11*Navires!$G$2</f>
        <v>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0</v>
      </c>
      <c r="AM11" s="118" t="s">
        <v>43</v>
      </c>
      <c r="AN11" s="118">
        <f>C11*Navires!$B$6</f>
        <v>0</v>
      </c>
      <c r="AO11" s="118">
        <f>D11*Navires!$C$6</f>
        <v>0</v>
      </c>
      <c r="AP11" s="118">
        <f>E11*Navires!$D$6</f>
        <v>0</v>
      </c>
      <c r="AQ11" s="118">
        <f>F11*Navires!$E$6</f>
        <v>0</v>
      </c>
      <c r="AR11" s="118">
        <f>G11*Navires!$F$6</f>
        <v>0</v>
      </c>
      <c r="AS11" s="118">
        <f>H11*Navires!$G$6</f>
        <v>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0</v>
      </c>
      <c r="BE11" s="118" t="s">
        <v>43</v>
      </c>
      <c r="BF11" s="118">
        <f>C11*Navires!$B$6</f>
        <v>0</v>
      </c>
      <c r="BG11" s="118">
        <f>D11*Navires!$B$6</f>
        <v>0</v>
      </c>
      <c r="BH11" s="118">
        <f>E11*Navires!$B$6</f>
        <v>0</v>
      </c>
      <c r="BI11" s="118">
        <f>F11*Navires!$B$6</f>
        <v>0</v>
      </c>
      <c r="BJ11" s="118">
        <f>G11*Navires!$B$6</f>
        <v>0</v>
      </c>
      <c r="BK11" s="118">
        <f>H11*Navires!$B$6</f>
        <v>0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0</v>
      </c>
    </row>
    <row r="12" spans="1:73" x14ac:dyDescent="0.25">
      <c r="A12" t="s">
        <v>56</v>
      </c>
      <c r="B12" s="2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2"/>
      <c r="R12" s="34">
        <f t="shared" si="0"/>
        <v>0</v>
      </c>
      <c r="U12" s="2" t="s">
        <v>44</v>
      </c>
      <c r="V12" s="2">
        <f>C12*Navires!$B$2</f>
        <v>0</v>
      </c>
      <c r="W12" s="2">
        <f>D12*Navires!$C$2</f>
        <v>0</v>
      </c>
      <c r="X12" s="2">
        <f>E12*Navires!$D$2</f>
        <v>0</v>
      </c>
      <c r="Y12" s="2">
        <f>F12*Navires!$E$2</f>
        <v>0</v>
      </c>
      <c r="Z12" s="2">
        <f>G12*Navires!$F$2</f>
        <v>0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0</v>
      </c>
      <c r="AM12" s="118" t="s">
        <v>44</v>
      </c>
      <c r="AN12" s="118">
        <f>C12*Navires!$B$6</f>
        <v>0</v>
      </c>
      <c r="AO12" s="118">
        <f>D12*Navires!$C$6</f>
        <v>0</v>
      </c>
      <c r="AP12" s="118">
        <f>E12*Navires!$D$6</f>
        <v>0</v>
      </c>
      <c r="AQ12" s="118">
        <f>F12*Navires!$E$6</f>
        <v>0</v>
      </c>
      <c r="AR12" s="118">
        <f>G12*Navires!$F$6</f>
        <v>0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0</v>
      </c>
      <c r="BE12" s="118" t="s">
        <v>44</v>
      </c>
      <c r="BF12" s="118">
        <f>C12*Navires!$B$6</f>
        <v>0</v>
      </c>
      <c r="BG12" s="118">
        <f>D12*Navires!$B$6</f>
        <v>0</v>
      </c>
      <c r="BH12" s="118">
        <f>E12*Navires!$B$6</f>
        <v>0</v>
      </c>
      <c r="BI12" s="118">
        <f>F12*Navires!$B$6</f>
        <v>0</v>
      </c>
      <c r="BJ12" s="118">
        <f>G12*Navires!$B$6</f>
        <v>0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0</v>
      </c>
    </row>
    <row r="13" spans="1:73" x14ac:dyDescent="0.25">
      <c r="A13" t="s">
        <v>57</v>
      </c>
      <c r="B13" s="2" t="s">
        <v>45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2"/>
      <c r="R13" s="34">
        <f t="shared" si="0"/>
        <v>0</v>
      </c>
      <c r="U13" s="2" t="s">
        <v>45</v>
      </c>
      <c r="V13" s="2">
        <f>C13*Navires!$B$2</f>
        <v>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0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0</v>
      </c>
      <c r="AM13" s="118" t="s">
        <v>45</v>
      </c>
      <c r="AN13" s="118">
        <f>C13*Navires!$B$6</f>
        <v>0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0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0</v>
      </c>
      <c r="BE13" s="118" t="s">
        <v>45</v>
      </c>
      <c r="BF13" s="118">
        <f>C13*Navires!$B$6</f>
        <v>0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0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0</v>
      </c>
    </row>
    <row r="14" spans="1:73" x14ac:dyDescent="0.25">
      <c r="A14" t="s">
        <v>58</v>
      </c>
      <c r="B14" s="2" t="s">
        <v>46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2"/>
      <c r="R14" s="34">
        <f t="shared" si="0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2"/>
      <c r="R15" s="34">
        <f t="shared" si="0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0</v>
      </c>
      <c r="D16" s="30">
        <f t="shared" ref="D16:Q16" si="1">SUM(D4:D15)</f>
        <v>0</v>
      </c>
      <c r="E16" s="30">
        <f t="shared" si="1"/>
        <v>0</v>
      </c>
      <c r="F16" s="30">
        <f t="shared" si="1"/>
        <v>0</v>
      </c>
      <c r="G16" s="30">
        <f t="shared" si="1"/>
        <v>0</v>
      </c>
      <c r="H16" s="30">
        <f t="shared" si="1"/>
        <v>0</v>
      </c>
      <c r="I16" s="30">
        <f t="shared" si="1"/>
        <v>0</v>
      </c>
      <c r="J16" s="30">
        <f t="shared" si="1"/>
        <v>0</v>
      </c>
      <c r="K16" s="30">
        <f t="shared" si="1"/>
        <v>0</v>
      </c>
      <c r="L16" s="30">
        <f t="shared" si="1"/>
        <v>0</v>
      </c>
      <c r="M16" s="30">
        <f t="shared" si="1"/>
        <v>0</v>
      </c>
      <c r="N16" s="30">
        <f t="shared" si="1"/>
        <v>0</v>
      </c>
      <c r="O16" s="30">
        <f t="shared" si="1"/>
        <v>0</v>
      </c>
      <c r="P16" s="30">
        <f t="shared" si="1"/>
        <v>0</v>
      </c>
      <c r="Q16" s="30">
        <f t="shared" si="1"/>
        <v>0</v>
      </c>
      <c r="R16" s="34">
        <f t="shared" si="0"/>
        <v>0</v>
      </c>
      <c r="U16" s="29" t="s">
        <v>60</v>
      </c>
      <c r="V16" s="30">
        <f>SUM(V4:V15)</f>
        <v>0</v>
      </c>
      <c r="W16" s="30">
        <f t="shared" ref="W16:AJ16" si="2">SUM(W4:W15)</f>
        <v>0</v>
      </c>
      <c r="X16" s="30">
        <f t="shared" si="2"/>
        <v>0</v>
      </c>
      <c r="Y16" s="30">
        <f t="shared" si="2"/>
        <v>0</v>
      </c>
      <c r="Z16" s="30">
        <f t="shared" si="2"/>
        <v>0</v>
      </c>
      <c r="AA16" s="30">
        <f t="shared" si="2"/>
        <v>0</v>
      </c>
      <c r="AB16" s="30">
        <f t="shared" si="2"/>
        <v>0</v>
      </c>
      <c r="AC16" s="30">
        <f t="shared" si="2"/>
        <v>0</v>
      </c>
      <c r="AD16" s="30">
        <f t="shared" si="2"/>
        <v>0</v>
      </c>
      <c r="AE16" s="30">
        <f t="shared" si="2"/>
        <v>0</v>
      </c>
      <c r="AF16" s="30">
        <f t="shared" si="2"/>
        <v>0</v>
      </c>
      <c r="AG16" s="30">
        <f t="shared" si="2"/>
        <v>0</v>
      </c>
      <c r="AH16" s="30">
        <f t="shared" si="2"/>
        <v>0</v>
      </c>
      <c r="AI16" s="30">
        <f t="shared" si="2"/>
        <v>0</v>
      </c>
      <c r="AJ16" s="30">
        <f t="shared" si="2"/>
        <v>0</v>
      </c>
      <c r="AM16" s="29" t="s">
        <v>60</v>
      </c>
      <c r="AN16" s="30">
        <f>SUM(AN4:AN15)</f>
        <v>0</v>
      </c>
      <c r="AO16" s="30">
        <f t="shared" ref="AO16:BB16" si="3">SUM(AO4:AO15)</f>
        <v>0</v>
      </c>
      <c r="AP16" s="30">
        <f t="shared" si="3"/>
        <v>0</v>
      </c>
      <c r="AQ16" s="30">
        <f t="shared" si="3"/>
        <v>0</v>
      </c>
      <c r="AR16" s="30">
        <f t="shared" si="3"/>
        <v>0</v>
      </c>
      <c r="AS16" s="30">
        <f t="shared" si="3"/>
        <v>0</v>
      </c>
      <c r="AT16" s="30">
        <f t="shared" si="3"/>
        <v>0</v>
      </c>
      <c r="AU16" s="30">
        <f t="shared" si="3"/>
        <v>0</v>
      </c>
      <c r="AV16" s="30">
        <f t="shared" si="3"/>
        <v>0</v>
      </c>
      <c r="AW16" s="30">
        <f t="shared" si="3"/>
        <v>0</v>
      </c>
      <c r="AX16" s="30">
        <f t="shared" si="3"/>
        <v>0</v>
      </c>
      <c r="AY16" s="30">
        <f t="shared" si="3"/>
        <v>0</v>
      </c>
      <c r="AZ16" s="30">
        <f t="shared" si="3"/>
        <v>0</v>
      </c>
      <c r="BA16" s="30">
        <f t="shared" si="3"/>
        <v>0</v>
      </c>
      <c r="BB16" s="30">
        <f t="shared" si="3"/>
        <v>0</v>
      </c>
      <c r="BE16" s="29" t="s">
        <v>60</v>
      </c>
      <c r="BF16" s="30">
        <f>SUM(BF4:BF15)</f>
        <v>0</v>
      </c>
      <c r="BG16" s="30">
        <f t="shared" ref="BG16:BT16" si="4">SUM(BG4:BG15)</f>
        <v>0</v>
      </c>
      <c r="BH16" s="30">
        <f t="shared" si="4"/>
        <v>0</v>
      </c>
      <c r="BI16" s="30">
        <f t="shared" si="4"/>
        <v>0</v>
      </c>
      <c r="BJ16" s="30">
        <f t="shared" si="4"/>
        <v>0</v>
      </c>
      <c r="BK16" s="30">
        <f t="shared" si="4"/>
        <v>0</v>
      </c>
      <c r="BL16" s="30">
        <f t="shared" si="4"/>
        <v>0</v>
      </c>
      <c r="BM16" s="30">
        <f t="shared" si="4"/>
        <v>0</v>
      </c>
      <c r="BN16" s="30">
        <f t="shared" si="4"/>
        <v>0</v>
      </c>
      <c r="BO16" s="30">
        <f t="shared" si="4"/>
        <v>0</v>
      </c>
      <c r="BP16" s="30">
        <f t="shared" si="4"/>
        <v>0</v>
      </c>
      <c r="BQ16" s="30">
        <f t="shared" si="4"/>
        <v>0</v>
      </c>
      <c r="BR16" s="30">
        <f t="shared" si="4"/>
        <v>0</v>
      </c>
      <c r="BS16" s="30">
        <f t="shared" si="4"/>
        <v>0</v>
      </c>
      <c r="BT16" s="30">
        <f t="shared" si="4"/>
        <v>0</v>
      </c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0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0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0</v>
      </c>
    </row>
    <row r="22" spans="1:73" x14ac:dyDescent="0.25">
      <c r="A22" t="s">
        <v>49</v>
      </c>
      <c r="B22" s="2" t="s">
        <v>37</v>
      </c>
      <c r="C22" s="2"/>
      <c r="D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2"/>
      <c r="R22" s="34">
        <f t="shared" ref="R22:R33" si="5">SUM(C22:Q22)</f>
        <v>0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0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0</v>
      </c>
    </row>
    <row r="23" spans="1:73" x14ac:dyDescent="0.25">
      <c r="A23" t="s">
        <v>50</v>
      </c>
      <c r="B23" s="2" t="s">
        <v>38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2"/>
      <c r="R23" s="34">
        <f t="shared" si="5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2"/>
      <c r="R24" s="34">
        <f t="shared" si="5"/>
        <v>0</v>
      </c>
      <c r="U24" s="2" t="s">
        <v>39</v>
      </c>
      <c r="V24" s="2">
        <f>C24*Navires!$B$2</f>
        <v>0</v>
      </c>
      <c r="W24" s="2">
        <f>D24*Navires!$C$2</f>
        <v>0</v>
      </c>
      <c r="X24" s="2">
        <f>E24*Navires!$D$2</f>
        <v>0</v>
      </c>
      <c r="Y24" s="2">
        <f>F24*Navires!$E$2</f>
        <v>0</v>
      </c>
      <c r="Z24" s="2">
        <f>G24*Navires!$F$2</f>
        <v>0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0</v>
      </c>
      <c r="AM24" s="118" t="s">
        <v>39</v>
      </c>
      <c r="AN24" s="118">
        <f>C24*Navires!$B$6</f>
        <v>0</v>
      </c>
      <c r="AO24" s="118">
        <f>D24*Navires!$C$6</f>
        <v>0</v>
      </c>
      <c r="AP24" s="118">
        <f>E24*Navires!$D$6</f>
        <v>0</v>
      </c>
      <c r="AQ24" s="118">
        <f>F24*Navires!$E$6</f>
        <v>0</v>
      </c>
      <c r="AR24" s="118">
        <f>G24*Navires!$F$6</f>
        <v>0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0</v>
      </c>
      <c r="BE24" s="118" t="s">
        <v>39</v>
      </c>
      <c r="BF24" s="118">
        <f>C24*Navires!$B$6</f>
        <v>0</v>
      </c>
      <c r="BG24" s="118">
        <f>D24*Navires!$B$6</f>
        <v>0</v>
      </c>
      <c r="BH24" s="118">
        <f>E24*Navires!$B$6</f>
        <v>0</v>
      </c>
      <c r="BI24" s="118">
        <f>F24*Navires!$B$6</f>
        <v>0</v>
      </c>
      <c r="BJ24" s="118">
        <f>G24*Navires!$B$6</f>
        <v>0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0</v>
      </c>
    </row>
    <row r="25" spans="1:73" x14ac:dyDescent="0.25">
      <c r="A25" t="s">
        <v>52</v>
      </c>
      <c r="B25" s="2" t="s">
        <v>40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2"/>
      <c r="R25" s="34">
        <f t="shared" si="5"/>
        <v>0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0</v>
      </c>
      <c r="Z25" s="2">
        <f>G25*Navires!$F$2</f>
        <v>0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0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0</v>
      </c>
      <c r="AR25" s="118">
        <f>G25*Navires!$F$6</f>
        <v>0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0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0</v>
      </c>
      <c r="BJ25" s="118">
        <f>G25*Navires!$B$6</f>
        <v>0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0</v>
      </c>
    </row>
    <row r="26" spans="1:73" x14ac:dyDescent="0.25">
      <c r="A26" t="s">
        <v>53</v>
      </c>
      <c r="B26" s="2" t="s">
        <v>41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2"/>
      <c r="R26" s="34">
        <f t="shared" si="5"/>
        <v>0</v>
      </c>
      <c r="U26" s="2" t="s">
        <v>41</v>
      </c>
      <c r="V26" s="2">
        <f>C26*Navires!$B$2</f>
        <v>0</v>
      </c>
      <c r="W26" s="2">
        <f>D26*Navires!$C$2</f>
        <v>0</v>
      </c>
      <c r="X26" s="2">
        <f>E26*Navires!$D$2</f>
        <v>0</v>
      </c>
      <c r="Y26" s="2">
        <f>F26*Navires!$E$2</f>
        <v>0</v>
      </c>
      <c r="Z26" s="2">
        <f>G26*Navires!$F$2</f>
        <v>0</v>
      </c>
      <c r="AA26" s="2">
        <f>H26*Navires!$G$2</f>
        <v>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0</v>
      </c>
      <c r="AM26" s="118" t="s">
        <v>41</v>
      </c>
      <c r="AN26" s="118">
        <f>C26*Navires!$B$6</f>
        <v>0</v>
      </c>
      <c r="AO26" s="118">
        <f>D26*Navires!$C$6</f>
        <v>0</v>
      </c>
      <c r="AP26" s="118">
        <f>E26*Navires!$D$6</f>
        <v>0</v>
      </c>
      <c r="AQ26" s="118">
        <f>F26*Navires!$E$6</f>
        <v>0</v>
      </c>
      <c r="AR26" s="118">
        <f>G26*Navires!$F$6</f>
        <v>0</v>
      </c>
      <c r="AS26" s="118">
        <f>H26*Navires!$G$6</f>
        <v>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0</v>
      </c>
      <c r="BE26" s="118" t="s">
        <v>41</v>
      </c>
      <c r="BF26" s="118">
        <f>C26*Navires!$B$6</f>
        <v>0</v>
      </c>
      <c r="BG26" s="118">
        <f>D26*Navires!$B$6</f>
        <v>0</v>
      </c>
      <c r="BH26" s="118">
        <f>E26*Navires!$B$6</f>
        <v>0</v>
      </c>
      <c r="BI26" s="118">
        <f>F26*Navires!$B$6</f>
        <v>0</v>
      </c>
      <c r="BJ26" s="118">
        <f>G26*Navires!$B$6</f>
        <v>0</v>
      </c>
      <c r="BK26" s="118">
        <f>H26*Navires!$B$6</f>
        <v>0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0</v>
      </c>
    </row>
    <row r="27" spans="1:73" x14ac:dyDescent="0.25">
      <c r="A27" t="s">
        <v>54</v>
      </c>
      <c r="B27" s="2" t="s">
        <v>42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2"/>
      <c r="R27" s="34">
        <f t="shared" si="5"/>
        <v>0</v>
      </c>
      <c r="U27" s="2" t="s">
        <v>42</v>
      </c>
      <c r="V27" s="2">
        <f>C27*Navires!$B$2</f>
        <v>0</v>
      </c>
      <c r="W27" s="2">
        <f>D27*Navires!$C$2</f>
        <v>0</v>
      </c>
      <c r="X27" s="2">
        <f>E27*Navires!$D$2</f>
        <v>0</v>
      </c>
      <c r="Y27" s="2">
        <f>F27*Navires!$E$2</f>
        <v>0</v>
      </c>
      <c r="Z27" s="2">
        <f>G27*Navires!$F$2</f>
        <v>0</v>
      </c>
      <c r="AA27" s="2">
        <f>H27*Navires!$G$2</f>
        <v>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0</v>
      </c>
      <c r="AM27" s="118" t="s">
        <v>42</v>
      </c>
      <c r="AN27" s="118">
        <f>C27*Navires!$B$6</f>
        <v>0</v>
      </c>
      <c r="AO27" s="118">
        <f>D27*Navires!$C$6</f>
        <v>0</v>
      </c>
      <c r="AP27" s="118">
        <f>E27*Navires!$D$6</f>
        <v>0</v>
      </c>
      <c r="AQ27" s="118">
        <f>F27*Navires!$E$6</f>
        <v>0</v>
      </c>
      <c r="AR27" s="118">
        <f>G27*Navires!$F$6</f>
        <v>0</v>
      </c>
      <c r="AS27" s="118">
        <f>H27*Navires!$G$6</f>
        <v>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0</v>
      </c>
      <c r="BE27" s="118" t="s">
        <v>42</v>
      </c>
      <c r="BF27" s="118">
        <f>C27*Navires!$B$6</f>
        <v>0</v>
      </c>
      <c r="BG27" s="118">
        <f>D27*Navires!$B$6</f>
        <v>0</v>
      </c>
      <c r="BH27" s="118">
        <f>E27*Navires!$B$6</f>
        <v>0</v>
      </c>
      <c r="BI27" s="118">
        <f>F27*Navires!$B$6</f>
        <v>0</v>
      </c>
      <c r="BJ27" s="118">
        <f>G27*Navires!$B$6</f>
        <v>0</v>
      </c>
      <c r="BK27" s="118">
        <f>H27*Navires!$B$6</f>
        <v>0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0</v>
      </c>
    </row>
    <row r="28" spans="1:73" x14ac:dyDescent="0.25">
      <c r="A28" t="s">
        <v>55</v>
      </c>
      <c r="B28" s="2" t="s">
        <v>43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5</v>
      </c>
      <c r="Q28" s="32"/>
      <c r="R28" s="34">
        <f t="shared" si="5"/>
        <v>5</v>
      </c>
      <c r="U28" s="2" t="s">
        <v>43</v>
      </c>
      <c r="V28" s="2">
        <f>C28*Navires!$B$2</f>
        <v>0</v>
      </c>
      <c r="W28" s="2">
        <f>D28*Navires!$C$2</f>
        <v>0</v>
      </c>
      <c r="X28" s="2">
        <f>E28*Navires!$D$2</f>
        <v>0</v>
      </c>
      <c r="Y28" s="2">
        <f>F28*Navires!$E$2</f>
        <v>0</v>
      </c>
      <c r="Z28" s="2">
        <f>G28*Navires!$F$2</f>
        <v>0</v>
      </c>
      <c r="AA28" s="2">
        <f>H28*Navires!$G$2</f>
        <v>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7500</v>
      </c>
      <c r="AJ28" s="2">
        <f>Q28*Navires!$P$2</f>
        <v>0</v>
      </c>
      <c r="AK28" s="35">
        <f>(SUM(V28:AJ28))*Générale!$B14</f>
        <v>7500</v>
      </c>
      <c r="AM28" s="118" t="s">
        <v>43</v>
      </c>
      <c r="AN28" s="118">
        <f>C28*Navires!$B$6</f>
        <v>0</v>
      </c>
      <c r="AO28" s="118">
        <f>D28*Navires!$C$6</f>
        <v>0</v>
      </c>
      <c r="AP28" s="118">
        <f>E28*Navires!$D$6</f>
        <v>0</v>
      </c>
      <c r="AQ28" s="118">
        <f>F28*Navires!$E$6</f>
        <v>0</v>
      </c>
      <c r="AR28" s="118">
        <f>G28*Navires!$F$6</f>
        <v>0</v>
      </c>
      <c r="AS28" s="118">
        <f>H28*Navires!$G$6</f>
        <v>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3200</v>
      </c>
      <c r="BB28" s="118">
        <f>Q28*Navires!$P$6</f>
        <v>0</v>
      </c>
      <c r="BC28" s="185">
        <f>SUM(AN28:BB28)*Générale!$B$26</f>
        <v>960</v>
      </c>
      <c r="BE28" s="118" t="s">
        <v>43</v>
      </c>
      <c r="BF28" s="118">
        <f>C28*Navires!$B$6</f>
        <v>0</v>
      </c>
      <c r="BG28" s="118">
        <f>D28*Navires!$B$6</f>
        <v>0</v>
      </c>
      <c r="BH28" s="118">
        <f>E28*Navires!$B$6</f>
        <v>0</v>
      </c>
      <c r="BI28" s="118">
        <f>F28*Navires!$B$6</f>
        <v>0</v>
      </c>
      <c r="BJ28" s="118">
        <f>G28*Navires!$B$6</f>
        <v>0</v>
      </c>
      <c r="BK28" s="118">
        <f>H28*Navires!$B$6</f>
        <v>0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2852</v>
      </c>
      <c r="BT28" s="118">
        <f>Q28*Navires!$B$6</f>
        <v>0</v>
      </c>
      <c r="BU28" s="185">
        <f>SUM(BF28:BT28)*Générale!$B$22</f>
        <v>4848.3999999999996</v>
      </c>
    </row>
    <row r="29" spans="1:73" x14ac:dyDescent="0.25">
      <c r="A29" t="s">
        <v>56</v>
      </c>
      <c r="B29" s="2" t="s">
        <v>44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2"/>
      <c r="R29" s="34">
        <f t="shared" si="5"/>
        <v>0</v>
      </c>
      <c r="U29" s="2" t="s">
        <v>44</v>
      </c>
      <c r="V29" s="2">
        <f>C29*Navires!$B$2</f>
        <v>0</v>
      </c>
      <c r="W29" s="2">
        <f>D29*Navires!$C$2</f>
        <v>0</v>
      </c>
      <c r="X29" s="2">
        <f>E29*Navires!$D$2</f>
        <v>0</v>
      </c>
      <c r="Y29" s="2">
        <f>F29*Navires!$E$2</f>
        <v>0</v>
      </c>
      <c r="Z29" s="2">
        <f>G29*Navires!$F$2</f>
        <v>0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0</v>
      </c>
      <c r="AM29" s="118" t="s">
        <v>44</v>
      </c>
      <c r="AN29" s="118">
        <f>C29*Navires!$B$6</f>
        <v>0</v>
      </c>
      <c r="AO29" s="118">
        <f>D29*Navires!$C$6</f>
        <v>0</v>
      </c>
      <c r="AP29" s="118">
        <f>E29*Navires!$D$6</f>
        <v>0</v>
      </c>
      <c r="AQ29" s="118">
        <f>F29*Navires!$E$6</f>
        <v>0</v>
      </c>
      <c r="AR29" s="118">
        <f>G29*Navires!$F$6</f>
        <v>0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0</v>
      </c>
      <c r="BE29" s="118" t="s">
        <v>44</v>
      </c>
      <c r="BF29" s="118">
        <f>C29*Navires!$B$6</f>
        <v>0</v>
      </c>
      <c r="BG29" s="118">
        <f>D29*Navires!$B$6</f>
        <v>0</v>
      </c>
      <c r="BH29" s="118">
        <f>E29*Navires!$B$6</f>
        <v>0</v>
      </c>
      <c r="BI29" s="118">
        <f>F29*Navires!$B$6</f>
        <v>0</v>
      </c>
      <c r="BJ29" s="118">
        <f>G29*Navires!$B$6</f>
        <v>0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0</v>
      </c>
    </row>
    <row r="30" spans="1:73" x14ac:dyDescent="0.25">
      <c r="A30" t="s">
        <v>57</v>
      </c>
      <c r="B30" s="2" t="s">
        <v>45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2"/>
      <c r="R30" s="34">
        <f t="shared" si="5"/>
        <v>0</v>
      </c>
      <c r="U30" s="2" t="s">
        <v>45</v>
      </c>
      <c r="V30" s="2">
        <f>C30*Navires!$B$2</f>
        <v>0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0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0</v>
      </c>
      <c r="AM30" s="118" t="s">
        <v>45</v>
      </c>
      <c r="AN30" s="118">
        <f>C30*Navires!$B$6</f>
        <v>0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0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0</v>
      </c>
      <c r="BE30" s="118" t="s">
        <v>45</v>
      </c>
      <c r="BF30" s="118">
        <f>C30*Navires!$B$6</f>
        <v>0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0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0</v>
      </c>
    </row>
    <row r="31" spans="1:73" x14ac:dyDescent="0.25">
      <c r="A31" t="s">
        <v>58</v>
      </c>
      <c r="B31" s="2" t="s">
        <v>46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2"/>
      <c r="R31" s="34">
        <f t="shared" si="5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2"/>
      <c r="R32" s="34">
        <f t="shared" si="5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0</v>
      </c>
      <c r="D33" s="34">
        <f t="shared" ref="D33:E33" si="6">SUM(D21:D32)</f>
        <v>0</v>
      </c>
      <c r="E33" s="34">
        <f t="shared" si="6"/>
        <v>0</v>
      </c>
      <c r="F33" s="34">
        <f>SUM(F21:F32)</f>
        <v>0</v>
      </c>
      <c r="G33" s="34">
        <f>SUM(G21:G32)</f>
        <v>0</v>
      </c>
      <c r="H33" s="34">
        <f t="shared" ref="H33:Q33" si="7">SUM(H21:H32)</f>
        <v>0</v>
      </c>
      <c r="I33" s="34">
        <f t="shared" si="7"/>
        <v>0</v>
      </c>
      <c r="J33" s="34">
        <f t="shared" si="7"/>
        <v>0</v>
      </c>
      <c r="K33" s="34">
        <f t="shared" si="7"/>
        <v>0</v>
      </c>
      <c r="L33" s="34">
        <f t="shared" si="7"/>
        <v>0</v>
      </c>
      <c r="M33" s="34">
        <f t="shared" si="7"/>
        <v>0</v>
      </c>
      <c r="N33" s="34">
        <f t="shared" si="7"/>
        <v>0</v>
      </c>
      <c r="O33" s="34">
        <f t="shared" si="7"/>
        <v>0</v>
      </c>
      <c r="P33" s="34">
        <f t="shared" si="7"/>
        <v>5</v>
      </c>
      <c r="Q33" s="34">
        <f t="shared" si="7"/>
        <v>0</v>
      </c>
      <c r="R33" s="34">
        <f t="shared" si="5"/>
        <v>5</v>
      </c>
      <c r="U33" s="34" t="s">
        <v>60</v>
      </c>
      <c r="V33" s="34">
        <f>SUM(V21:V32)</f>
        <v>0</v>
      </c>
      <c r="W33" s="34">
        <f t="shared" ref="W33:AJ33" si="8">SUM(W21:W32)</f>
        <v>0</v>
      </c>
      <c r="X33" s="34">
        <f t="shared" si="8"/>
        <v>0</v>
      </c>
      <c r="Y33" s="34">
        <f t="shared" si="8"/>
        <v>0</v>
      </c>
      <c r="Z33" s="34">
        <f t="shared" si="8"/>
        <v>0</v>
      </c>
      <c r="AA33" s="34">
        <f t="shared" si="8"/>
        <v>0</v>
      </c>
      <c r="AB33" s="34">
        <f t="shared" si="8"/>
        <v>0</v>
      </c>
      <c r="AC33" s="34">
        <f t="shared" si="8"/>
        <v>0</v>
      </c>
      <c r="AD33" s="34">
        <f t="shared" si="8"/>
        <v>0</v>
      </c>
      <c r="AE33" s="34">
        <f t="shared" si="8"/>
        <v>0</v>
      </c>
      <c r="AF33" s="34">
        <f t="shared" si="8"/>
        <v>0</v>
      </c>
      <c r="AG33" s="34">
        <f t="shared" si="8"/>
        <v>0</v>
      </c>
      <c r="AH33" s="34">
        <f t="shared" si="8"/>
        <v>0</v>
      </c>
      <c r="AI33" s="34">
        <f t="shared" si="8"/>
        <v>7500</v>
      </c>
      <c r="AJ33" s="34">
        <f t="shared" si="8"/>
        <v>0</v>
      </c>
      <c r="AK33" s="121"/>
      <c r="AM33" s="34" t="s">
        <v>60</v>
      </c>
      <c r="AN33" s="34">
        <f>SUM(AN21:AN32)</f>
        <v>0</v>
      </c>
      <c r="AO33" s="34">
        <f t="shared" ref="AO33:BB33" si="9">SUM(AO21:AO32)</f>
        <v>0</v>
      </c>
      <c r="AP33" s="34">
        <f t="shared" si="9"/>
        <v>0</v>
      </c>
      <c r="AQ33" s="34">
        <f t="shared" si="9"/>
        <v>0</v>
      </c>
      <c r="AR33" s="34">
        <f t="shared" si="9"/>
        <v>0</v>
      </c>
      <c r="AS33" s="34">
        <f t="shared" si="9"/>
        <v>0</v>
      </c>
      <c r="AT33" s="34">
        <f t="shared" si="9"/>
        <v>0</v>
      </c>
      <c r="AU33" s="34">
        <f t="shared" si="9"/>
        <v>0</v>
      </c>
      <c r="AV33" s="34">
        <f t="shared" si="9"/>
        <v>0</v>
      </c>
      <c r="AW33" s="34">
        <f t="shared" si="9"/>
        <v>0</v>
      </c>
      <c r="AX33" s="34">
        <f t="shared" si="9"/>
        <v>0</v>
      </c>
      <c r="AY33" s="34">
        <f t="shared" si="9"/>
        <v>0</v>
      </c>
      <c r="AZ33" s="34">
        <f t="shared" si="9"/>
        <v>0</v>
      </c>
      <c r="BA33" s="34">
        <f t="shared" si="9"/>
        <v>3200</v>
      </c>
      <c r="BB33" s="34">
        <f t="shared" si="9"/>
        <v>0</v>
      </c>
      <c r="BC33" s="118"/>
      <c r="BE33" s="34" t="s">
        <v>60</v>
      </c>
      <c r="BF33" s="118">
        <f>C33*Navires!$B$6</f>
        <v>0</v>
      </c>
      <c r="BG33" s="118">
        <f>D33*Navires!$B$6</f>
        <v>0</v>
      </c>
      <c r="BH33" s="118">
        <f>E33*Navires!$B$6</f>
        <v>0</v>
      </c>
      <c r="BI33" s="118">
        <f>F33*Navires!$B$6</f>
        <v>0</v>
      </c>
      <c r="BJ33" s="118">
        <f>G33*Navires!$B$6</f>
        <v>0</v>
      </c>
      <c r="BK33" s="118">
        <f>H33*Navires!$B$6</f>
        <v>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2852</v>
      </c>
      <c r="BT33" s="118">
        <f>Q33*Navires!$B$6</f>
        <v>0</v>
      </c>
      <c r="BU33" s="118"/>
    </row>
    <row r="49" spans="1:37" x14ac:dyDescent="0.25">
      <c r="B49" t="e">
        <f>'ILE ROUSSE 2015'!#REF!</f>
        <v>#REF!</v>
      </c>
    </row>
    <row r="50" spans="1:37" s="117" customFormat="1" ht="23.25" customHeight="1" x14ac:dyDescent="0.25">
      <c r="C50" s="215" t="s">
        <v>61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V50" s="215" t="s">
        <v>62</v>
      </c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7"/>
    </row>
    <row r="51" spans="1:37" s="117" customFormat="1" ht="23.25" customHeight="1" x14ac:dyDescent="0.25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8"/>
    </row>
    <row r="52" spans="1:37" s="117" customFormat="1" ht="45" x14ac:dyDescent="0.25">
      <c r="C52" s="24" t="s">
        <v>21</v>
      </c>
      <c r="D52" s="24" t="s">
        <v>22</v>
      </c>
      <c r="E52" s="24" t="s">
        <v>23</v>
      </c>
      <c r="F52" s="24" t="s">
        <v>24</v>
      </c>
      <c r="G52" s="24" t="s">
        <v>25</v>
      </c>
      <c r="H52" s="24" t="s">
        <v>26</v>
      </c>
      <c r="I52" s="25" t="s">
        <v>30</v>
      </c>
      <c r="J52" s="25" t="s">
        <v>33</v>
      </c>
      <c r="K52" s="25" t="s">
        <v>65</v>
      </c>
      <c r="L52" s="25" t="s">
        <v>31</v>
      </c>
      <c r="M52" s="25" t="s">
        <v>32</v>
      </c>
      <c r="N52" s="25" t="s">
        <v>29</v>
      </c>
      <c r="O52" s="25" t="s">
        <v>28</v>
      </c>
      <c r="P52" s="24" t="s">
        <v>27</v>
      </c>
      <c r="Q52" s="31" t="s">
        <v>34</v>
      </c>
      <c r="R52" s="33" t="s">
        <v>60</v>
      </c>
      <c r="S52" s="87"/>
      <c r="V52" s="24" t="s">
        <v>21</v>
      </c>
      <c r="W52" s="24" t="s">
        <v>22</v>
      </c>
      <c r="X52" s="24" t="s">
        <v>23</v>
      </c>
      <c r="Y52" s="24" t="s">
        <v>24</v>
      </c>
      <c r="Z52" s="24" t="s">
        <v>25</v>
      </c>
      <c r="AA52" s="24" t="s">
        <v>26</v>
      </c>
      <c r="AB52" s="25" t="s">
        <v>30</v>
      </c>
      <c r="AC52" s="25" t="s">
        <v>33</v>
      </c>
      <c r="AD52" s="25" t="s">
        <v>26</v>
      </c>
      <c r="AE52" s="25" t="s">
        <v>31</v>
      </c>
      <c r="AF52" s="25" t="s">
        <v>32</v>
      </c>
      <c r="AG52" s="25" t="s">
        <v>29</v>
      </c>
      <c r="AH52" s="25" t="s">
        <v>28</v>
      </c>
      <c r="AI52" s="24" t="s">
        <v>27</v>
      </c>
      <c r="AJ52" s="25" t="s">
        <v>34</v>
      </c>
      <c r="AK52" s="33" t="s">
        <v>60</v>
      </c>
    </row>
    <row r="53" spans="1:37" s="117" customFormat="1" ht="15" customHeight="1" x14ac:dyDescent="0.25">
      <c r="A53" s="117" t="s">
        <v>139</v>
      </c>
      <c r="B53" s="118" t="s">
        <v>146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32"/>
      <c r="R53" s="34">
        <f>SUM(C53:Q53)</f>
        <v>0</v>
      </c>
      <c r="S53" s="135"/>
      <c r="U53" s="118" t="s">
        <v>146</v>
      </c>
      <c r="V53" s="118">
        <f>C53*Navires!$B$2</f>
        <v>0</v>
      </c>
      <c r="W53" s="118">
        <f>D53*Navires!$C$2</f>
        <v>0</v>
      </c>
      <c r="X53" s="118">
        <f>E53*Navires!$D$2</f>
        <v>0</v>
      </c>
      <c r="Y53" s="118">
        <f>F53*Navires!$E$2</f>
        <v>0</v>
      </c>
      <c r="Z53" s="118">
        <f>G53*Navires!$F$2</f>
        <v>0</v>
      </c>
      <c r="AA53" s="118">
        <f>H53*Navires!$G$2</f>
        <v>0</v>
      </c>
      <c r="AB53" s="118">
        <f>I53*Navires!$H$2</f>
        <v>0</v>
      </c>
      <c r="AC53" s="118">
        <f>J53*Navires!$I$2</f>
        <v>0</v>
      </c>
      <c r="AD53" s="118">
        <f>K53*Navires!$J$2</f>
        <v>0</v>
      </c>
      <c r="AE53" s="118">
        <f>L53*Navires!$K$2</f>
        <v>0</v>
      </c>
      <c r="AF53" s="118">
        <f>M53*Navires!$L$2</f>
        <v>0</v>
      </c>
      <c r="AG53" s="118">
        <f>N53*Navires!$M$2</f>
        <v>0</v>
      </c>
      <c r="AH53" s="118">
        <f>O53*Navires!$N$2</f>
        <v>0</v>
      </c>
      <c r="AI53" s="118">
        <f>P53*Navires!$O$2</f>
        <v>0</v>
      </c>
      <c r="AJ53" s="118">
        <f>Q53*Navires!$P$2</f>
        <v>0</v>
      </c>
      <c r="AK53" s="35">
        <f>(SUM(V53:AJ53))*Générale!$B56</f>
        <v>0</v>
      </c>
    </row>
    <row r="54" spans="1:37" s="117" customFormat="1" x14ac:dyDescent="0.25">
      <c r="A54" s="117" t="s">
        <v>140</v>
      </c>
      <c r="B54" s="118" t="s">
        <v>147</v>
      </c>
      <c r="C54" s="118"/>
      <c r="D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32"/>
      <c r="R54" s="34">
        <f t="shared" ref="R54:R59" si="10">SUM(C54:Q54)</f>
        <v>0</v>
      </c>
      <c r="S54" s="135"/>
      <c r="U54" s="118" t="s">
        <v>147</v>
      </c>
      <c r="V54" s="118">
        <f>C54*Navires!$B$2</f>
        <v>0</v>
      </c>
      <c r="W54" s="118">
        <f>D54*Navires!$C$2</f>
        <v>0</v>
      </c>
      <c r="X54" s="118">
        <f>E54*Navires!$D$2</f>
        <v>0</v>
      </c>
      <c r="Y54" s="118">
        <f>F54*Navires!$E$2</f>
        <v>0</v>
      </c>
      <c r="Z54" s="118">
        <f>G54*Navires!$F$2</f>
        <v>0</v>
      </c>
      <c r="AA54" s="118">
        <f>H54*Navires!$G$2</f>
        <v>0</v>
      </c>
      <c r="AB54" s="118">
        <f>I54*Navires!$H$2</f>
        <v>0</v>
      </c>
      <c r="AC54" s="118">
        <f>J54*Navires!$I$2</f>
        <v>0</v>
      </c>
      <c r="AD54" s="118">
        <f>K54*Navires!$J$2</f>
        <v>0</v>
      </c>
      <c r="AE54" s="118">
        <f>L54*Navires!$K$2</f>
        <v>0</v>
      </c>
      <c r="AF54" s="118">
        <f>M54*Navires!$L$2</f>
        <v>0</v>
      </c>
      <c r="AG54" s="118">
        <f>N54*Navires!$M$2</f>
        <v>0</v>
      </c>
      <c r="AH54" s="118">
        <f>O54*Navires!$N$2</f>
        <v>0</v>
      </c>
      <c r="AI54" s="118">
        <f>P54*Navires!$O$2</f>
        <v>0</v>
      </c>
      <c r="AJ54" s="118">
        <f>Q54*Navires!$P$2</f>
        <v>0</v>
      </c>
      <c r="AK54" s="35">
        <f>(SUM(V54:AJ54))*Générale!$B57</f>
        <v>0</v>
      </c>
    </row>
    <row r="55" spans="1:37" s="117" customFormat="1" x14ac:dyDescent="0.25">
      <c r="A55" s="117" t="s">
        <v>141</v>
      </c>
      <c r="B55" s="118" t="s">
        <v>148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32"/>
      <c r="R55" s="34">
        <f t="shared" si="10"/>
        <v>0</v>
      </c>
      <c r="S55" s="135"/>
      <c r="U55" s="118" t="s">
        <v>148</v>
      </c>
      <c r="V55" s="118">
        <f>C55*Navires!$B$2</f>
        <v>0</v>
      </c>
      <c r="W55" s="118">
        <f>D55*Navires!$C$2</f>
        <v>0</v>
      </c>
      <c r="X55" s="118">
        <f>E55*Navires!$D$2</f>
        <v>0</v>
      </c>
      <c r="Y55" s="118">
        <f>F55*Navires!$E$2</f>
        <v>0</v>
      </c>
      <c r="Z55" s="118">
        <f>G55*Navires!$F$2</f>
        <v>0</v>
      </c>
      <c r="AA55" s="118">
        <f>H55*Navires!$G$2</f>
        <v>0</v>
      </c>
      <c r="AB55" s="118">
        <f>I55*Navires!$H$2</f>
        <v>0</v>
      </c>
      <c r="AC55" s="118">
        <f>J55*Navires!$I$2</f>
        <v>0</v>
      </c>
      <c r="AD55" s="118">
        <f>K55*Navires!$J$2</f>
        <v>0</v>
      </c>
      <c r="AE55" s="118">
        <f>L55*Navires!$K$2</f>
        <v>0</v>
      </c>
      <c r="AF55" s="118">
        <f>M55*Navires!$L$2</f>
        <v>0</v>
      </c>
      <c r="AG55" s="118">
        <f>N55*Navires!$M$2</f>
        <v>0</v>
      </c>
      <c r="AH55" s="118">
        <f>O55*Navires!$N$2</f>
        <v>0</v>
      </c>
      <c r="AI55" s="118">
        <f>P55*Navires!$O$2</f>
        <v>0</v>
      </c>
      <c r="AJ55" s="118">
        <f>Q55*Navires!$P$2</f>
        <v>0</v>
      </c>
      <c r="AK55" s="35">
        <f>(SUM(V55:AJ55))*Générale!$B58</f>
        <v>0</v>
      </c>
    </row>
    <row r="56" spans="1:37" s="117" customFormat="1" x14ac:dyDescent="0.25">
      <c r="A56" s="117" t="s">
        <v>142</v>
      </c>
      <c r="B56" s="118" t="s">
        <v>149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32"/>
      <c r="R56" s="34">
        <f t="shared" si="10"/>
        <v>0</v>
      </c>
      <c r="S56" s="135"/>
      <c r="U56" s="118" t="s">
        <v>149</v>
      </c>
      <c r="V56" s="118">
        <f>C56*Navires!$B$2</f>
        <v>0</v>
      </c>
      <c r="W56" s="118">
        <f>D56*Navires!$C$2</f>
        <v>0</v>
      </c>
      <c r="X56" s="118">
        <f>E56*Navires!$D$2</f>
        <v>0</v>
      </c>
      <c r="Y56" s="118">
        <f>F56*Navires!$E$2</f>
        <v>0</v>
      </c>
      <c r="Z56" s="118">
        <f>G56*Navires!$F$2</f>
        <v>0</v>
      </c>
      <c r="AA56" s="118">
        <f>H56*Navires!$G$2</f>
        <v>0</v>
      </c>
      <c r="AB56" s="118">
        <f>I56*Navires!$H$2</f>
        <v>0</v>
      </c>
      <c r="AC56" s="118">
        <f>J56*Navires!$I$2</f>
        <v>0</v>
      </c>
      <c r="AD56" s="118">
        <f>K56*Navires!$J$2</f>
        <v>0</v>
      </c>
      <c r="AE56" s="118">
        <f>L56*Navires!$K$2</f>
        <v>0</v>
      </c>
      <c r="AF56" s="118">
        <f>M56*Navires!$L$2</f>
        <v>0</v>
      </c>
      <c r="AG56" s="118">
        <f>N56*Navires!$M$2</f>
        <v>0</v>
      </c>
      <c r="AH56" s="118">
        <f>O56*Navires!$N$2</f>
        <v>0</v>
      </c>
      <c r="AI56" s="118">
        <f>P56*Navires!$O$2</f>
        <v>0</v>
      </c>
      <c r="AJ56" s="118">
        <f>Q56*Navires!$P$2</f>
        <v>0</v>
      </c>
      <c r="AK56" s="35">
        <f>(SUM(V56:AJ56))*Générale!$B59</f>
        <v>0</v>
      </c>
    </row>
    <row r="57" spans="1:37" s="117" customFormat="1" x14ac:dyDescent="0.25">
      <c r="A57" s="117" t="s">
        <v>143</v>
      </c>
      <c r="B57" s="118" t="s">
        <v>150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2"/>
      <c r="R57" s="34">
        <f t="shared" si="10"/>
        <v>0</v>
      </c>
      <c r="S57" s="135"/>
      <c r="U57" s="118" t="s">
        <v>150</v>
      </c>
      <c r="V57" s="118">
        <f>C57*Navires!$B$2</f>
        <v>0</v>
      </c>
      <c r="W57" s="118">
        <f>D57*Navires!$C$2</f>
        <v>0</v>
      </c>
      <c r="X57" s="118">
        <f>E57*Navires!$D$2</f>
        <v>0</v>
      </c>
      <c r="Y57" s="118">
        <f>F57*Navires!$E$2</f>
        <v>0</v>
      </c>
      <c r="Z57" s="118">
        <f>G57*Navires!$F$2</f>
        <v>0</v>
      </c>
      <c r="AA57" s="118">
        <f>H57*Navires!$G$2</f>
        <v>0</v>
      </c>
      <c r="AB57" s="118">
        <f>I57*Navires!$H$2</f>
        <v>0</v>
      </c>
      <c r="AC57" s="118">
        <f>J57*Navires!$I$2</f>
        <v>0</v>
      </c>
      <c r="AD57" s="118">
        <f>K57*Navires!$J$2</f>
        <v>0</v>
      </c>
      <c r="AE57" s="118">
        <f>L57*Navires!$K$2</f>
        <v>0</v>
      </c>
      <c r="AF57" s="118">
        <f>M57*Navires!$L$2</f>
        <v>0</v>
      </c>
      <c r="AG57" s="118">
        <f>N57*Navires!$M$2</f>
        <v>0</v>
      </c>
      <c r="AH57" s="118">
        <f>O57*Navires!$N$2</f>
        <v>0</v>
      </c>
      <c r="AI57" s="118">
        <f>P57*Navires!$O$2</f>
        <v>0</v>
      </c>
      <c r="AJ57" s="118">
        <f>Q57*Navires!$P$2</f>
        <v>0</v>
      </c>
      <c r="AK57" s="35">
        <f>(SUM(V57:AJ57))*Générale!$B60</f>
        <v>0</v>
      </c>
    </row>
    <row r="58" spans="1:37" s="117" customFormat="1" x14ac:dyDescent="0.25">
      <c r="A58" s="117" t="s">
        <v>144</v>
      </c>
      <c r="B58" s="118" t="s">
        <v>151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32"/>
      <c r="R58" s="34">
        <f t="shared" si="10"/>
        <v>0</v>
      </c>
      <c r="S58" s="135"/>
      <c r="U58" s="118" t="s">
        <v>151</v>
      </c>
      <c r="V58" s="118">
        <f>C58*Navires!$B$2</f>
        <v>0</v>
      </c>
      <c r="W58" s="118">
        <f>D58*Navires!$C$2</f>
        <v>0</v>
      </c>
      <c r="X58" s="118">
        <f>E58*Navires!$D$2</f>
        <v>0</v>
      </c>
      <c r="Y58" s="118">
        <f>F58*Navires!$E$2</f>
        <v>0</v>
      </c>
      <c r="Z58" s="118">
        <f>G58*Navires!$F$2</f>
        <v>0</v>
      </c>
      <c r="AA58" s="118">
        <f>H58*Navires!$G$2</f>
        <v>0</v>
      </c>
      <c r="AB58" s="118">
        <f>I58*Navires!$H$2</f>
        <v>0</v>
      </c>
      <c r="AC58" s="118">
        <f>J58*Navires!$I$2</f>
        <v>0</v>
      </c>
      <c r="AD58" s="118">
        <f>K58*Navires!$J$2</f>
        <v>0</v>
      </c>
      <c r="AE58" s="118">
        <f>L58*Navires!$K$2</f>
        <v>0</v>
      </c>
      <c r="AF58" s="118">
        <f>M58*Navires!$L$2</f>
        <v>0</v>
      </c>
      <c r="AG58" s="118">
        <f>N58*Navires!$M$2</f>
        <v>0</v>
      </c>
      <c r="AH58" s="118">
        <f>O58*Navires!$N$2</f>
        <v>0</v>
      </c>
      <c r="AI58" s="118">
        <f>P58*Navires!$O$2</f>
        <v>0</v>
      </c>
      <c r="AJ58" s="118">
        <f>Q58*Navires!$P$2</f>
        <v>0</v>
      </c>
      <c r="AK58" s="35">
        <f>(SUM(V58:AJ58))*Générale!$B61</f>
        <v>0</v>
      </c>
    </row>
    <row r="59" spans="1:37" s="117" customFormat="1" x14ac:dyDescent="0.25">
      <c r="A59" s="117" t="s">
        <v>145</v>
      </c>
      <c r="B59" s="118" t="s">
        <v>152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32"/>
      <c r="R59" s="34">
        <f t="shared" si="10"/>
        <v>0</v>
      </c>
      <c r="S59" s="135"/>
      <c r="U59" s="118" t="s">
        <v>152</v>
      </c>
      <c r="V59" s="118">
        <f>C59*Navires!$B$2</f>
        <v>0</v>
      </c>
      <c r="W59" s="118">
        <f>D59*Navires!$C$2</f>
        <v>0</v>
      </c>
      <c r="X59" s="118">
        <f>E59*Navires!$D$2</f>
        <v>0</v>
      </c>
      <c r="Y59" s="118">
        <f>F59*Navires!$E$2</f>
        <v>0</v>
      </c>
      <c r="Z59" s="118">
        <f>G59*Navires!$F$2</f>
        <v>0</v>
      </c>
      <c r="AA59" s="118">
        <f>H59*Navires!$G$2</f>
        <v>0</v>
      </c>
      <c r="AB59" s="118">
        <f>I59*Navires!$H$2</f>
        <v>0</v>
      </c>
      <c r="AC59" s="118">
        <f>J59*Navires!$I$2</f>
        <v>0</v>
      </c>
      <c r="AD59" s="118">
        <f>K59*Navires!$J$2</f>
        <v>0</v>
      </c>
      <c r="AE59" s="118">
        <f>L59*Navires!$K$2</f>
        <v>0</v>
      </c>
      <c r="AF59" s="118">
        <f>M59*Navires!$L$2</f>
        <v>0</v>
      </c>
      <c r="AG59" s="118">
        <f>N59*Navires!$M$2</f>
        <v>0</v>
      </c>
      <c r="AH59" s="118">
        <f>O59*Navires!$N$2</f>
        <v>0</v>
      </c>
      <c r="AI59" s="118">
        <f>P59*Navires!$O$2</f>
        <v>0</v>
      </c>
      <c r="AJ59" s="118">
        <f>Q59*Navires!$P$2</f>
        <v>0</v>
      </c>
      <c r="AK59" s="35">
        <f>(SUM(V59:AJ59))*Générale!$B62</f>
        <v>0</v>
      </c>
    </row>
    <row r="60" spans="1:37" s="117" customFormat="1" x14ac:dyDescent="0.25"/>
    <row r="61" spans="1:37" s="117" customFormat="1" ht="15" customHeight="1" x14ac:dyDescent="0.25">
      <c r="C61" s="215" t="s">
        <v>63</v>
      </c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U61" s="217" t="s">
        <v>64</v>
      </c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</row>
    <row r="62" spans="1:37" s="117" customFormat="1" ht="26.25" customHeight="1" x14ac:dyDescent="0.25"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</row>
    <row r="63" spans="1:37" s="117" customFormat="1" ht="45" x14ac:dyDescent="0.25">
      <c r="C63" s="24" t="s">
        <v>21</v>
      </c>
      <c r="D63" s="24" t="s">
        <v>22</v>
      </c>
      <c r="E63" s="24" t="s">
        <v>23</v>
      </c>
      <c r="F63" s="24" t="s">
        <v>24</v>
      </c>
      <c r="G63" s="24" t="s">
        <v>25</v>
      </c>
      <c r="H63" s="24" t="s">
        <v>26</v>
      </c>
      <c r="I63" s="25" t="s">
        <v>30</v>
      </c>
      <c r="J63" s="25" t="s">
        <v>33</v>
      </c>
      <c r="K63" s="25" t="s">
        <v>65</v>
      </c>
      <c r="L63" s="25" t="s">
        <v>31</v>
      </c>
      <c r="M63" s="25" t="s">
        <v>32</v>
      </c>
      <c r="N63" s="25" t="s">
        <v>29</v>
      </c>
      <c r="O63" s="25" t="s">
        <v>28</v>
      </c>
      <c r="P63" s="24" t="s">
        <v>27</v>
      </c>
      <c r="Q63" s="31" t="s">
        <v>34</v>
      </c>
      <c r="R63" s="33" t="s">
        <v>60</v>
      </c>
      <c r="U63" s="118"/>
      <c r="V63" s="23" t="s">
        <v>21</v>
      </c>
      <c r="W63" s="23" t="s">
        <v>22</v>
      </c>
      <c r="X63" s="23" t="s">
        <v>23</v>
      </c>
      <c r="Y63" s="23" t="s">
        <v>24</v>
      </c>
      <c r="Z63" s="23" t="s">
        <v>25</v>
      </c>
      <c r="AA63" s="23" t="s">
        <v>26</v>
      </c>
      <c r="AB63" s="23" t="s">
        <v>30</v>
      </c>
      <c r="AC63" s="23" t="s">
        <v>33</v>
      </c>
      <c r="AD63" s="23" t="s">
        <v>26</v>
      </c>
      <c r="AE63" s="23" t="s">
        <v>31</v>
      </c>
      <c r="AF63" s="23" t="s">
        <v>32</v>
      </c>
      <c r="AG63" s="23" t="s">
        <v>29</v>
      </c>
      <c r="AH63" s="23" t="s">
        <v>28</v>
      </c>
      <c r="AI63" s="23" t="s">
        <v>27</v>
      </c>
      <c r="AJ63" s="23" t="s">
        <v>34</v>
      </c>
      <c r="AK63" s="37" t="s">
        <v>60</v>
      </c>
    </row>
    <row r="64" spans="1:37" s="117" customFormat="1" x14ac:dyDescent="0.25">
      <c r="A64" s="117" t="s">
        <v>139</v>
      </c>
      <c r="B64" s="118" t="s">
        <v>146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32"/>
      <c r="R64" s="34">
        <f>SUM(C64:Q64)</f>
        <v>0</v>
      </c>
      <c r="U64" s="118" t="s">
        <v>146</v>
      </c>
      <c r="V64" s="118">
        <f>C64*Navires!$B$2</f>
        <v>0</v>
      </c>
      <c r="W64" s="118">
        <f>D64*Navires!$C$2</f>
        <v>0</v>
      </c>
      <c r="X64" s="118">
        <f>E64*Navires!$D$2</f>
        <v>0</v>
      </c>
      <c r="Y64" s="118">
        <f>F64*Navires!$E$2</f>
        <v>0</v>
      </c>
      <c r="Z64" s="118">
        <f>G64*Navires!$F$2</f>
        <v>0</v>
      </c>
      <c r="AA64" s="118">
        <f>H64*Navires!$G$2</f>
        <v>0</v>
      </c>
      <c r="AB64" s="118">
        <f>I64*Navires!$H$2</f>
        <v>0</v>
      </c>
      <c r="AC64" s="118">
        <f>J64*Navires!$I$2</f>
        <v>0</v>
      </c>
      <c r="AD64" s="118">
        <f>K64*Navires!$J$2</f>
        <v>0</v>
      </c>
      <c r="AE64" s="118">
        <f>L64*Navires!$K$2</f>
        <v>0</v>
      </c>
      <c r="AF64" s="118">
        <f>M64*Navires!$L$2</f>
        <v>0</v>
      </c>
      <c r="AG64" s="118">
        <f>N64*Navires!$M$2</f>
        <v>0</v>
      </c>
      <c r="AH64" s="118">
        <f>O64*Navires!$N$2</f>
        <v>0</v>
      </c>
      <c r="AI64" s="118">
        <f>P64*Navires!$O$2</f>
        <v>0</v>
      </c>
      <c r="AJ64" s="118">
        <f>Q64*Navires!$P$2</f>
        <v>0</v>
      </c>
      <c r="AK64" s="35">
        <f>(SUM(V64:AJ64))*Générale!$B50</f>
        <v>0</v>
      </c>
    </row>
    <row r="65" spans="1:37" s="117" customFormat="1" x14ac:dyDescent="0.25">
      <c r="A65" s="117" t="s">
        <v>140</v>
      </c>
      <c r="B65" s="118" t="s">
        <v>147</v>
      </c>
      <c r="C65" s="118"/>
      <c r="D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32"/>
      <c r="R65" s="34">
        <f t="shared" ref="R65:R70" si="11">SUM(C65:Q65)</f>
        <v>0</v>
      </c>
      <c r="U65" s="118" t="s">
        <v>147</v>
      </c>
      <c r="V65" s="118">
        <f>C65*Navires!$B$2</f>
        <v>0</v>
      </c>
      <c r="W65" s="118">
        <f>D65*Navires!$C$2</f>
        <v>0</v>
      </c>
      <c r="X65" s="118">
        <f>E65*Navires!$D$2</f>
        <v>0</v>
      </c>
      <c r="Y65" s="118">
        <f>F65*Navires!$E$2</f>
        <v>0</v>
      </c>
      <c r="Z65" s="118">
        <f>G65*Navires!$F$2</f>
        <v>0</v>
      </c>
      <c r="AA65" s="118">
        <f>H65*Navires!$G$2</f>
        <v>0</v>
      </c>
      <c r="AB65" s="118">
        <f>I65*Navires!$H$2</f>
        <v>0</v>
      </c>
      <c r="AC65" s="118">
        <f>J65*Navires!$I$2</f>
        <v>0</v>
      </c>
      <c r="AD65" s="118">
        <f>K65*Navires!$J$2</f>
        <v>0</v>
      </c>
      <c r="AE65" s="118">
        <f>L65*Navires!$K$2</f>
        <v>0</v>
      </c>
      <c r="AF65" s="118">
        <f>M65*Navires!$L$2</f>
        <v>0</v>
      </c>
      <c r="AG65" s="118">
        <f>N65*Navires!$M$2</f>
        <v>0</v>
      </c>
      <c r="AH65" s="118">
        <f>O65*Navires!$N$2</f>
        <v>0</v>
      </c>
      <c r="AI65" s="118">
        <f>P65*Navires!$O$2</f>
        <v>0</v>
      </c>
      <c r="AJ65" s="118">
        <f>Q65*Navires!$P$2</f>
        <v>0</v>
      </c>
      <c r="AK65" s="35">
        <f>(SUM(V65:AJ65))*Générale!$B51</f>
        <v>0</v>
      </c>
    </row>
    <row r="66" spans="1:37" s="117" customFormat="1" x14ac:dyDescent="0.25">
      <c r="A66" s="117" t="s">
        <v>141</v>
      </c>
      <c r="B66" s="118" t="s">
        <v>148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32"/>
      <c r="R66" s="34">
        <f t="shared" si="11"/>
        <v>0</v>
      </c>
      <c r="U66" s="118" t="s">
        <v>148</v>
      </c>
      <c r="V66" s="118">
        <f>C66*Navires!$B$2</f>
        <v>0</v>
      </c>
      <c r="W66" s="118">
        <f>D66*Navires!$C$2</f>
        <v>0</v>
      </c>
      <c r="X66" s="118">
        <f>E66*Navires!$D$2</f>
        <v>0</v>
      </c>
      <c r="Y66" s="118">
        <f>F66*Navires!$E$2</f>
        <v>0</v>
      </c>
      <c r="Z66" s="118">
        <f>G66*Navires!$F$2</f>
        <v>0</v>
      </c>
      <c r="AA66" s="118">
        <f>H66*Navires!$G$2</f>
        <v>0</v>
      </c>
      <c r="AB66" s="118">
        <f>I66*Navires!$H$2</f>
        <v>0</v>
      </c>
      <c r="AC66" s="118">
        <f>J66*Navires!$I$2</f>
        <v>0</v>
      </c>
      <c r="AD66" s="118">
        <f>K66*Navires!$J$2</f>
        <v>0</v>
      </c>
      <c r="AE66" s="118">
        <f>L66*Navires!$K$2</f>
        <v>0</v>
      </c>
      <c r="AF66" s="118">
        <f>M66*Navires!$L$2</f>
        <v>0</v>
      </c>
      <c r="AG66" s="118">
        <f>N66*Navires!$M$2</f>
        <v>0</v>
      </c>
      <c r="AH66" s="118">
        <f>O66*Navires!$N$2</f>
        <v>0</v>
      </c>
      <c r="AI66" s="118">
        <f>P66*Navires!$O$2</f>
        <v>0</v>
      </c>
      <c r="AJ66" s="118">
        <f>Q66*Navires!$P$2</f>
        <v>0</v>
      </c>
      <c r="AK66" s="35">
        <f>(SUM(V66:AJ66))*Générale!$B52</f>
        <v>0</v>
      </c>
    </row>
    <row r="67" spans="1:37" s="117" customFormat="1" x14ac:dyDescent="0.25">
      <c r="A67" s="117" t="s">
        <v>142</v>
      </c>
      <c r="B67" s="118" t="s">
        <v>149</v>
      </c>
      <c r="C67" s="118"/>
      <c r="D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32"/>
      <c r="R67" s="34">
        <f t="shared" si="11"/>
        <v>0</v>
      </c>
      <c r="U67" s="118" t="s">
        <v>149</v>
      </c>
      <c r="V67" s="118">
        <f>C67*Navires!$B$2</f>
        <v>0</v>
      </c>
      <c r="W67" s="118">
        <f>D67*Navires!$C$2</f>
        <v>0</v>
      </c>
      <c r="X67" s="118">
        <f>E67*Navires!$D$2</f>
        <v>0</v>
      </c>
      <c r="Y67" s="118">
        <f>F67*Navires!$E$2</f>
        <v>0</v>
      </c>
      <c r="Z67" s="118">
        <f>G67*Navires!$F$2</f>
        <v>0</v>
      </c>
      <c r="AA67" s="118">
        <f>H67*Navires!$G$2</f>
        <v>0</v>
      </c>
      <c r="AB67" s="118">
        <f>I67*Navires!$H$2</f>
        <v>0</v>
      </c>
      <c r="AC67" s="118">
        <f>J67*Navires!$I$2</f>
        <v>0</v>
      </c>
      <c r="AD67" s="118">
        <f>K67*Navires!$J$2</f>
        <v>0</v>
      </c>
      <c r="AE67" s="118">
        <f>L67*Navires!$K$2</f>
        <v>0</v>
      </c>
      <c r="AF67" s="118">
        <f>M67*Navires!$L$2</f>
        <v>0</v>
      </c>
      <c r="AG67" s="118">
        <f>N67*Navires!$M$2</f>
        <v>0</v>
      </c>
      <c r="AH67" s="118">
        <f>O67*Navires!$N$2</f>
        <v>0</v>
      </c>
      <c r="AI67" s="118">
        <f>P67*Navires!$O$2</f>
        <v>0</v>
      </c>
      <c r="AJ67" s="118">
        <f>Q67*Navires!$P$2</f>
        <v>0</v>
      </c>
      <c r="AK67" s="35">
        <f>(SUM(V67:AJ67))*Générale!$B53</f>
        <v>0</v>
      </c>
    </row>
    <row r="68" spans="1:37" s="117" customFormat="1" x14ac:dyDescent="0.25">
      <c r="A68" s="117" t="s">
        <v>143</v>
      </c>
      <c r="B68" s="118" t="s">
        <v>150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32"/>
      <c r="R68" s="34">
        <f t="shared" si="11"/>
        <v>0</v>
      </c>
      <c r="U68" s="118" t="s">
        <v>150</v>
      </c>
      <c r="V68" s="118">
        <f>C68*Navires!$B$2</f>
        <v>0</v>
      </c>
      <c r="W68" s="118">
        <f>D68*Navires!$C$2</f>
        <v>0</v>
      </c>
      <c r="X68" s="118">
        <f>E68*Navires!$D$2</f>
        <v>0</v>
      </c>
      <c r="Y68" s="118">
        <f>F68*Navires!$E$2</f>
        <v>0</v>
      </c>
      <c r="Z68" s="118">
        <f>G68*Navires!$F$2</f>
        <v>0</v>
      </c>
      <c r="AA68" s="118">
        <f>H68*Navires!$G$2</f>
        <v>0</v>
      </c>
      <c r="AB68" s="118">
        <f>I68*Navires!$H$2</f>
        <v>0</v>
      </c>
      <c r="AC68" s="118">
        <f>J68*Navires!$I$2</f>
        <v>0</v>
      </c>
      <c r="AD68" s="118">
        <f>K68*Navires!$J$2</f>
        <v>0</v>
      </c>
      <c r="AE68" s="118">
        <f>L68*Navires!$K$2</f>
        <v>0</v>
      </c>
      <c r="AF68" s="118">
        <f>M68*Navires!$L$2</f>
        <v>0</v>
      </c>
      <c r="AG68" s="118">
        <f>N68*Navires!$M$2</f>
        <v>0</v>
      </c>
      <c r="AH68" s="118">
        <f>O68*Navires!$N$2</f>
        <v>0</v>
      </c>
      <c r="AI68" s="118">
        <f>P68*Navires!$O$2</f>
        <v>0</v>
      </c>
      <c r="AJ68" s="118">
        <f>Q68*Navires!$P$2</f>
        <v>0</v>
      </c>
      <c r="AK68" s="35">
        <f>(SUM(V68:AJ68))*Générale!$B54</f>
        <v>0</v>
      </c>
    </row>
    <row r="69" spans="1:37" s="117" customFormat="1" x14ac:dyDescent="0.25">
      <c r="A69" s="117" t="s">
        <v>144</v>
      </c>
      <c r="B69" s="118" t="s">
        <v>151</v>
      </c>
      <c r="C69" s="118"/>
      <c r="D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32"/>
      <c r="R69" s="34">
        <f t="shared" si="11"/>
        <v>0</v>
      </c>
      <c r="U69" s="118" t="s">
        <v>151</v>
      </c>
      <c r="V69" s="118">
        <f>C69*Navires!$B$2</f>
        <v>0</v>
      </c>
      <c r="W69" s="118">
        <f>D69*Navires!$C$2</f>
        <v>0</v>
      </c>
      <c r="X69" s="118">
        <f>E69*Navires!$D$2</f>
        <v>0</v>
      </c>
      <c r="Y69" s="118">
        <f>F69*Navires!$E$2</f>
        <v>0</v>
      </c>
      <c r="Z69" s="118">
        <f>G69*Navires!$F$2</f>
        <v>0</v>
      </c>
      <c r="AA69" s="118">
        <f>H69*Navires!$G$2</f>
        <v>0</v>
      </c>
      <c r="AB69" s="118">
        <f>I69*Navires!$H$2</f>
        <v>0</v>
      </c>
      <c r="AC69" s="118">
        <f>J69*Navires!$I$2</f>
        <v>0</v>
      </c>
      <c r="AD69" s="118">
        <f>K69*Navires!$J$2</f>
        <v>0</v>
      </c>
      <c r="AE69" s="118">
        <f>L69*Navires!$K$2</f>
        <v>0</v>
      </c>
      <c r="AF69" s="118">
        <f>M69*Navires!$L$2</f>
        <v>0</v>
      </c>
      <c r="AG69" s="118">
        <f>N69*Navires!$M$2</f>
        <v>0</v>
      </c>
      <c r="AH69" s="118">
        <f>O69*Navires!$N$2</f>
        <v>0</v>
      </c>
      <c r="AI69" s="118">
        <f>P69*Navires!$O$2</f>
        <v>0</v>
      </c>
      <c r="AJ69" s="118">
        <f>Q69*Navires!$P$2</f>
        <v>0</v>
      </c>
      <c r="AK69" s="35">
        <f>(SUM(V69:AJ69))*Générale!$B55</f>
        <v>0</v>
      </c>
    </row>
    <row r="70" spans="1:37" s="117" customFormat="1" x14ac:dyDescent="0.25">
      <c r="A70" s="117" t="s">
        <v>145</v>
      </c>
      <c r="B70" s="118" t="s">
        <v>152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32"/>
      <c r="R70" s="34">
        <f t="shared" si="11"/>
        <v>0</v>
      </c>
      <c r="U70" s="118" t="s">
        <v>152</v>
      </c>
      <c r="V70" s="118">
        <f>C70*Navires!$B$2</f>
        <v>0</v>
      </c>
      <c r="W70" s="118">
        <f>D70*Navires!$C$2</f>
        <v>0</v>
      </c>
      <c r="X70" s="118">
        <f>E70*Navires!$D$2</f>
        <v>0</v>
      </c>
      <c r="Y70" s="118">
        <f>F70*Navires!$E$2</f>
        <v>0</v>
      </c>
      <c r="Z70" s="118">
        <f>G70*Navires!$F$2</f>
        <v>0</v>
      </c>
      <c r="AA70" s="118">
        <f>H70*Navires!$G$2</f>
        <v>0</v>
      </c>
      <c r="AB70" s="118">
        <f>I70*Navires!$H$2</f>
        <v>0</v>
      </c>
      <c r="AC70" s="118">
        <f>J70*Navires!$I$2</f>
        <v>0</v>
      </c>
      <c r="AD70" s="118">
        <f>K70*Navires!$J$2</f>
        <v>0</v>
      </c>
      <c r="AE70" s="118">
        <f>L70*Navires!$K$2</f>
        <v>0</v>
      </c>
      <c r="AF70" s="118">
        <f>M70*Navires!$L$2</f>
        <v>0</v>
      </c>
      <c r="AG70" s="118">
        <f>N70*Navires!$M$2</f>
        <v>0</v>
      </c>
      <c r="AH70" s="118">
        <f>O70*Navires!$N$2</f>
        <v>0</v>
      </c>
      <c r="AI70" s="118">
        <f>P70*Navires!$O$2</f>
        <v>0</v>
      </c>
      <c r="AJ70" s="118">
        <f>Q70*Navires!$P$2</f>
        <v>0</v>
      </c>
      <c r="AK70" s="35">
        <f>(SUM(V70:AJ70))*Générale!$B56</f>
        <v>0</v>
      </c>
    </row>
  </sheetData>
  <mergeCells count="12">
    <mergeCell ref="BF1:BT2"/>
    <mergeCell ref="BE18:BU19"/>
    <mergeCell ref="C50:Q51"/>
    <mergeCell ref="V50:AJ51"/>
    <mergeCell ref="C61:Q62"/>
    <mergeCell ref="U61:AK62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G19" workbookViewId="0">
      <selection activeCell="BU20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1</v>
      </c>
      <c r="D4" s="2">
        <v>0</v>
      </c>
      <c r="E4" s="2">
        <v>17</v>
      </c>
      <c r="F4" s="2">
        <v>0</v>
      </c>
      <c r="G4" s="2">
        <v>6</v>
      </c>
      <c r="H4" s="2">
        <v>9</v>
      </c>
      <c r="I4" s="2">
        <v>0</v>
      </c>
      <c r="J4" s="2"/>
      <c r="K4" s="2"/>
      <c r="L4" s="2"/>
      <c r="M4" s="118">
        <v>0</v>
      </c>
      <c r="N4" s="2"/>
      <c r="O4" s="2"/>
      <c r="P4" s="2"/>
      <c r="Q4" s="32"/>
      <c r="R4" s="34">
        <f>SUM(C4:Q4)</f>
        <v>33</v>
      </c>
      <c r="S4" s="82">
        <f>R4/R36</f>
        <v>7.4492099322799099</v>
      </c>
      <c r="U4" s="2" t="s">
        <v>36</v>
      </c>
      <c r="V4" s="2">
        <f>C4*Navires!$B$2</f>
        <v>1955</v>
      </c>
      <c r="W4" s="2">
        <f>D4*Navires!$C$2</f>
        <v>0</v>
      </c>
      <c r="X4" s="2">
        <f>E4*Navires!$D$2</f>
        <v>35802</v>
      </c>
      <c r="Y4" s="2">
        <f>F4*Navires!$E$2</f>
        <v>0</v>
      </c>
      <c r="Z4" s="2">
        <f>G4*Navires!$F$2</f>
        <v>11376</v>
      </c>
      <c r="AA4" s="2">
        <f>H4*Navires!$G$2</f>
        <v>18000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67133</v>
      </c>
      <c r="AM4" s="118" t="s">
        <v>36</v>
      </c>
      <c r="AN4" s="118">
        <f>C4*Navires!$B$6</f>
        <v>570.4</v>
      </c>
      <c r="AO4" s="118">
        <f>D4*Navires!$C$6</f>
        <v>0</v>
      </c>
      <c r="AP4" s="118">
        <f>E4*Navires!$D$6</f>
        <v>13600</v>
      </c>
      <c r="AQ4" s="118">
        <f>F4*Navires!$E$6</f>
        <v>0</v>
      </c>
      <c r="AR4" s="118">
        <f>G4*Navires!$F$6</f>
        <v>4084.8</v>
      </c>
      <c r="AS4" s="118">
        <f>H4*Navires!$G$6</f>
        <v>6120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12187.6</v>
      </c>
      <c r="BE4" s="118" t="s">
        <v>36</v>
      </c>
      <c r="BF4" s="118">
        <f>C4*Navires!$B$6</f>
        <v>570.4</v>
      </c>
      <c r="BG4" s="118">
        <f>D4*Navires!$B$6</f>
        <v>0</v>
      </c>
      <c r="BH4" s="118">
        <f>E4*Navires!$B$6</f>
        <v>9696.7999999999993</v>
      </c>
      <c r="BI4" s="118">
        <f>F4*Navires!$B$6</f>
        <v>0</v>
      </c>
      <c r="BJ4" s="118">
        <f>G4*Navires!$B$6</f>
        <v>3422.3999999999996</v>
      </c>
      <c r="BK4" s="118">
        <f>H4*Navires!$B$6</f>
        <v>5133.5999999999995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13176.239999999998</v>
      </c>
    </row>
    <row r="5" spans="1:73" x14ac:dyDescent="0.25">
      <c r="A5" t="s">
        <v>49</v>
      </c>
      <c r="B5" s="2" t="s">
        <v>37</v>
      </c>
      <c r="C5" s="2">
        <v>1</v>
      </c>
      <c r="D5" s="2">
        <v>0</v>
      </c>
      <c r="E5">
        <v>14</v>
      </c>
      <c r="F5" s="2">
        <v>3</v>
      </c>
      <c r="G5" s="2">
        <v>4</v>
      </c>
      <c r="H5" s="2">
        <v>9</v>
      </c>
      <c r="I5" s="2">
        <v>0</v>
      </c>
      <c r="J5" s="2"/>
      <c r="K5" s="2"/>
      <c r="L5" s="2"/>
      <c r="M5" s="118">
        <v>0</v>
      </c>
      <c r="N5" s="2"/>
      <c r="O5" s="2"/>
      <c r="P5" s="2"/>
      <c r="Q5" s="32"/>
      <c r="R5" s="34">
        <f t="shared" ref="R5:R16" si="0">SUM(C5:Q5)</f>
        <v>31</v>
      </c>
      <c r="S5" s="82">
        <f t="shared" ref="S5:S16" si="1">R5/R37</f>
        <v>7.75</v>
      </c>
      <c r="U5" s="2" t="s">
        <v>37</v>
      </c>
      <c r="V5" s="2">
        <f>C5*Navires!$B$2</f>
        <v>1955</v>
      </c>
      <c r="W5" s="2">
        <f>D5*Navires!$C$2</f>
        <v>0</v>
      </c>
      <c r="X5" s="2">
        <f>E5*Navires!$D$2</f>
        <v>29484</v>
      </c>
      <c r="Y5" s="2">
        <f>F5*Navires!$E$2</f>
        <v>5640</v>
      </c>
      <c r="Z5" s="2">
        <f>G5*Navires!$F$2</f>
        <v>7584</v>
      </c>
      <c r="AA5" s="2">
        <f>H5*Navires!$G$2</f>
        <v>18000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62663</v>
      </c>
      <c r="AM5" s="118" t="s">
        <v>37</v>
      </c>
      <c r="AN5" s="118">
        <f>C5*Navires!$B$6</f>
        <v>570.4</v>
      </c>
      <c r="AO5" s="118">
        <f>D5*Navires!$C$6</f>
        <v>0</v>
      </c>
      <c r="AP5" s="118">
        <f>E5*Navires!$D$6</f>
        <v>11200</v>
      </c>
      <c r="AQ5" s="118">
        <f>F5*Navires!$E$6</f>
        <v>3684</v>
      </c>
      <c r="AR5" s="118">
        <f>G5*Navires!$F$6</f>
        <v>2723.2000000000003</v>
      </c>
      <c r="AS5" s="118">
        <f>H5*Navires!$G$6</f>
        <v>6120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12148.8</v>
      </c>
      <c r="BE5" s="118" t="s">
        <v>37</v>
      </c>
      <c r="BF5" s="118">
        <f>C5*Navires!$B$6</f>
        <v>570.4</v>
      </c>
      <c r="BG5" s="118">
        <f>D5*Navires!$B$6</f>
        <v>0</v>
      </c>
      <c r="BH5" s="118">
        <f>E5*Navires!$B$6</f>
        <v>7985.5999999999995</v>
      </c>
      <c r="BI5" s="118">
        <f>F5*Navires!$B$6</f>
        <v>1711.1999999999998</v>
      </c>
      <c r="BJ5" s="118">
        <f>G5*Navires!$B$6</f>
        <v>2281.6</v>
      </c>
      <c r="BK5" s="118">
        <f>H5*Navires!$B$6</f>
        <v>5133.5999999999995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12377.68</v>
      </c>
    </row>
    <row r="6" spans="1:73" x14ac:dyDescent="0.25">
      <c r="A6" t="s">
        <v>50</v>
      </c>
      <c r="B6" s="2" t="s">
        <v>38</v>
      </c>
      <c r="C6" s="2">
        <v>7</v>
      </c>
      <c r="D6" s="2">
        <v>2</v>
      </c>
      <c r="E6" s="2">
        <v>15</v>
      </c>
      <c r="F6" s="2">
        <v>5</v>
      </c>
      <c r="G6" s="2">
        <v>2</v>
      </c>
      <c r="H6" s="2">
        <v>2</v>
      </c>
      <c r="I6" s="2">
        <v>0</v>
      </c>
      <c r="J6" s="2"/>
      <c r="K6" s="2"/>
      <c r="L6" s="2"/>
      <c r="M6" s="118">
        <v>0</v>
      </c>
      <c r="N6" s="2"/>
      <c r="O6" s="2"/>
      <c r="P6" s="2"/>
      <c r="Q6" s="32"/>
      <c r="R6" s="34">
        <f t="shared" si="0"/>
        <v>33</v>
      </c>
      <c r="S6" s="82">
        <f t="shared" si="1"/>
        <v>7.4492099322799099</v>
      </c>
      <c r="U6" s="2" t="s">
        <v>38</v>
      </c>
      <c r="V6" s="2">
        <f>C6*Navires!$B$2</f>
        <v>13685</v>
      </c>
      <c r="W6" s="2">
        <f>D6*Navires!$C$2</f>
        <v>3910</v>
      </c>
      <c r="X6" s="2">
        <f>E6*Navires!$D$2</f>
        <v>31590</v>
      </c>
      <c r="Y6" s="2">
        <f>F6*Navires!$E$2</f>
        <v>9400</v>
      </c>
      <c r="Z6" s="2">
        <f>G6*Navires!$F$2</f>
        <v>3792</v>
      </c>
      <c r="AA6" s="2">
        <f>H6*Navires!$G$2</f>
        <v>4000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66377</v>
      </c>
      <c r="AM6" s="118" t="s">
        <v>38</v>
      </c>
      <c r="AN6" s="118">
        <f>C6*Navires!$B$6</f>
        <v>3992.7999999999997</v>
      </c>
      <c r="AO6" s="118">
        <f>D6*Navires!$C$6</f>
        <v>1140.8</v>
      </c>
      <c r="AP6" s="118">
        <f>E6*Navires!$D$6</f>
        <v>12000</v>
      </c>
      <c r="AQ6" s="118">
        <f>F6*Navires!$E$6</f>
        <v>6140</v>
      </c>
      <c r="AR6" s="118">
        <f>G6*Navires!$F$6</f>
        <v>1361.6000000000001</v>
      </c>
      <c r="AS6" s="118">
        <f>H6*Navires!$G$6</f>
        <v>1360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12997.599999999999</v>
      </c>
      <c r="BE6" s="118" t="s">
        <v>38</v>
      </c>
      <c r="BF6" s="118">
        <f>C6*Navires!$B$6</f>
        <v>3992.7999999999997</v>
      </c>
      <c r="BG6" s="118">
        <f>D6*Navires!$B$6</f>
        <v>1140.8</v>
      </c>
      <c r="BH6" s="118">
        <f>E6*Navires!$B$6</f>
        <v>8556</v>
      </c>
      <c r="BI6" s="118">
        <f>F6*Navires!$B$6</f>
        <v>2852</v>
      </c>
      <c r="BJ6" s="118">
        <f>G6*Navires!$B$6</f>
        <v>1140.8</v>
      </c>
      <c r="BK6" s="118">
        <f>H6*Navires!$B$6</f>
        <v>1140.8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13176.239999999998</v>
      </c>
    </row>
    <row r="7" spans="1:73" x14ac:dyDescent="0.25">
      <c r="A7" t="s">
        <v>51</v>
      </c>
      <c r="B7" s="2" t="s">
        <v>39</v>
      </c>
      <c r="C7" s="2">
        <v>0</v>
      </c>
      <c r="D7" s="2">
        <v>20</v>
      </c>
      <c r="E7" s="2">
        <v>23</v>
      </c>
      <c r="F7" s="2">
        <v>4</v>
      </c>
      <c r="G7" s="2">
        <v>0</v>
      </c>
      <c r="H7" s="2">
        <v>0</v>
      </c>
      <c r="I7" s="2">
        <v>1</v>
      </c>
      <c r="J7" s="2"/>
      <c r="K7" s="2"/>
      <c r="L7" s="2"/>
      <c r="M7" s="118">
        <v>0</v>
      </c>
      <c r="N7" s="2"/>
      <c r="O7" s="2"/>
      <c r="P7" s="2"/>
      <c r="Q7" s="32"/>
      <c r="R7" s="34">
        <f t="shared" si="0"/>
        <v>48</v>
      </c>
      <c r="S7" s="82">
        <f t="shared" si="1"/>
        <v>11.214953271028037</v>
      </c>
      <c r="U7" s="2" t="s">
        <v>39</v>
      </c>
      <c r="V7" s="2">
        <f>C7*Navires!$B$2</f>
        <v>0</v>
      </c>
      <c r="W7" s="2">
        <f>D7*Navires!$C$2</f>
        <v>39100</v>
      </c>
      <c r="X7" s="2">
        <f>E7*Navires!$D$2</f>
        <v>48438</v>
      </c>
      <c r="Y7" s="2">
        <f>F7*Navires!$E$2</f>
        <v>7520</v>
      </c>
      <c r="Z7" s="2">
        <f>G7*Navires!$F$2</f>
        <v>0</v>
      </c>
      <c r="AA7" s="2">
        <f>H7*Navires!$G$2</f>
        <v>0</v>
      </c>
      <c r="AB7" s="2">
        <f>I7*Navires!$H$2</f>
        <v>2000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97058</v>
      </c>
      <c r="AM7" s="118" t="s">
        <v>39</v>
      </c>
      <c r="AN7" s="118">
        <f>C7*Navires!$B$6</f>
        <v>0</v>
      </c>
      <c r="AO7" s="118">
        <f>D7*Navires!$C$6</f>
        <v>11408</v>
      </c>
      <c r="AP7" s="118">
        <f>E7*Navires!$D$6</f>
        <v>18400</v>
      </c>
      <c r="AQ7" s="118">
        <f>F7*Navires!$E$6</f>
        <v>4912</v>
      </c>
      <c r="AR7" s="118">
        <f>G7*Navires!$F$6</f>
        <v>0</v>
      </c>
      <c r="AS7" s="118">
        <f>H7*Navires!$G$6</f>
        <v>0</v>
      </c>
      <c r="AT7" s="118">
        <f>I7*Navires!$H$6</f>
        <v>680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17700</v>
      </c>
      <c r="BE7" s="118" t="s">
        <v>39</v>
      </c>
      <c r="BF7" s="118">
        <f>C7*Navires!$B$6</f>
        <v>0</v>
      </c>
      <c r="BG7" s="118">
        <f>D7*Navires!$B$6</f>
        <v>11408</v>
      </c>
      <c r="BH7" s="118">
        <f>E7*Navires!$B$6</f>
        <v>13119.199999999999</v>
      </c>
      <c r="BI7" s="118">
        <f>F7*Navires!$B$6</f>
        <v>2281.6</v>
      </c>
      <c r="BJ7" s="118">
        <f>G7*Navires!$B$6</f>
        <v>0</v>
      </c>
      <c r="BK7" s="118">
        <f>H7*Navires!$B$6</f>
        <v>0</v>
      </c>
      <c r="BL7" s="118">
        <f>I7*Navires!$B$6</f>
        <v>570.4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46544.639999999992</v>
      </c>
    </row>
    <row r="8" spans="1:73" x14ac:dyDescent="0.25">
      <c r="A8" t="s">
        <v>52</v>
      </c>
      <c r="B8" s="2" t="s">
        <v>40</v>
      </c>
      <c r="C8" s="2">
        <v>0</v>
      </c>
      <c r="D8" s="2">
        <v>9</v>
      </c>
      <c r="E8" s="2">
        <v>22</v>
      </c>
      <c r="F8" s="2">
        <v>0</v>
      </c>
      <c r="G8" s="2">
        <v>0</v>
      </c>
      <c r="H8" s="2">
        <v>10</v>
      </c>
      <c r="I8" s="2">
        <v>2</v>
      </c>
      <c r="J8" s="2"/>
      <c r="K8" s="2"/>
      <c r="L8" s="2"/>
      <c r="M8" s="118">
        <v>0</v>
      </c>
      <c r="N8" s="2"/>
      <c r="O8" s="2"/>
      <c r="P8" s="2"/>
      <c r="Q8" s="32"/>
      <c r="R8" s="34">
        <f t="shared" si="0"/>
        <v>43</v>
      </c>
      <c r="S8" s="82">
        <f t="shared" si="1"/>
        <v>9.7065462753950342</v>
      </c>
      <c r="U8" s="2" t="s">
        <v>40</v>
      </c>
      <c r="V8" s="2">
        <f>C8*Navires!$B$2</f>
        <v>0</v>
      </c>
      <c r="W8" s="2">
        <f>D8*Navires!$C$2</f>
        <v>17595</v>
      </c>
      <c r="X8" s="2">
        <f>E8*Navires!$D$2</f>
        <v>46332</v>
      </c>
      <c r="Y8" s="2">
        <f>F8*Navires!$E$2</f>
        <v>0</v>
      </c>
      <c r="Z8" s="2">
        <f>G8*Navires!$F$2</f>
        <v>0</v>
      </c>
      <c r="AA8" s="2">
        <f>H8*Navires!$G$2</f>
        <v>20000</v>
      </c>
      <c r="AB8" s="2">
        <f>I8*Navires!$H$2</f>
        <v>4000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87927</v>
      </c>
      <c r="AM8" s="118" t="s">
        <v>40</v>
      </c>
      <c r="AN8" s="118">
        <f>C8*Navires!$B$6</f>
        <v>0</v>
      </c>
      <c r="AO8" s="118">
        <f>D8*Navires!$C$6</f>
        <v>5133.5999999999995</v>
      </c>
      <c r="AP8" s="118">
        <f>E8*Navires!$D$6</f>
        <v>17600</v>
      </c>
      <c r="AQ8" s="118">
        <f>F8*Navires!$E$6</f>
        <v>0</v>
      </c>
      <c r="AR8" s="118">
        <f>G8*Navires!$F$6</f>
        <v>0</v>
      </c>
      <c r="AS8" s="118">
        <f>H8*Navires!$G$6</f>
        <v>6800</v>
      </c>
      <c r="AT8" s="118">
        <f>I8*Navires!$H$6</f>
        <v>1360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9268.08</v>
      </c>
      <c r="BE8" s="118" t="s">
        <v>40</v>
      </c>
      <c r="BF8" s="118">
        <f>C8*Navires!$B$6</f>
        <v>0</v>
      </c>
      <c r="BG8" s="118">
        <f>D8*Navires!$B$6</f>
        <v>5133.5999999999995</v>
      </c>
      <c r="BH8" s="118">
        <f>E8*Navires!$B$6</f>
        <v>12548.8</v>
      </c>
      <c r="BI8" s="118">
        <f>F8*Navires!$B$6</f>
        <v>0</v>
      </c>
      <c r="BJ8" s="118">
        <f>G8*Navires!$B$6</f>
        <v>0</v>
      </c>
      <c r="BK8" s="118">
        <f>H8*Navires!$B$6</f>
        <v>5704</v>
      </c>
      <c r="BL8" s="118">
        <f>I8*Navires!$B$6</f>
        <v>1140.8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41696.239999999991</v>
      </c>
    </row>
    <row r="9" spans="1:73" x14ac:dyDescent="0.25">
      <c r="A9" t="s">
        <v>53</v>
      </c>
      <c r="B9" s="2" t="s">
        <v>41</v>
      </c>
      <c r="C9" s="2">
        <v>14</v>
      </c>
      <c r="D9" s="2">
        <v>11</v>
      </c>
      <c r="E9" s="2">
        <v>2</v>
      </c>
      <c r="F9" s="2">
        <v>8</v>
      </c>
      <c r="G9" s="2">
        <v>12</v>
      </c>
      <c r="H9" s="2">
        <v>4</v>
      </c>
      <c r="I9" s="2">
        <v>4</v>
      </c>
      <c r="J9" s="2"/>
      <c r="K9" s="2"/>
      <c r="L9" s="2"/>
      <c r="M9" s="118">
        <v>0</v>
      </c>
      <c r="N9" s="2"/>
      <c r="O9" s="2"/>
      <c r="P9" s="2"/>
      <c r="Q9" s="32"/>
      <c r="R9" s="34">
        <f t="shared" si="0"/>
        <v>55</v>
      </c>
      <c r="S9" s="82">
        <f t="shared" si="1"/>
        <v>12.850467289719626</v>
      </c>
      <c r="U9" s="2" t="s">
        <v>41</v>
      </c>
      <c r="V9" s="2">
        <f>C9*Navires!$B$2</f>
        <v>27370</v>
      </c>
      <c r="W9" s="2">
        <f>D9*Navires!$C$2</f>
        <v>21505</v>
      </c>
      <c r="X9" s="2">
        <f>E9*Navires!$D$2</f>
        <v>4212</v>
      </c>
      <c r="Y9" s="2">
        <f>F9*Navires!$E$2</f>
        <v>15040</v>
      </c>
      <c r="Z9" s="2">
        <f>G9*Navires!$F$2</f>
        <v>22752</v>
      </c>
      <c r="AA9" s="2">
        <f>H9*Navires!$G$2</f>
        <v>8000</v>
      </c>
      <c r="AB9" s="2">
        <f>I9*Navires!$H$2</f>
        <v>8000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106879</v>
      </c>
      <c r="AM9" s="118" t="s">
        <v>41</v>
      </c>
      <c r="AN9" s="118">
        <f>C9*Navires!$B$6</f>
        <v>7985.5999999999995</v>
      </c>
      <c r="AO9" s="118">
        <f>D9*Navires!$C$6</f>
        <v>6274.4</v>
      </c>
      <c r="AP9" s="118">
        <f>E9*Navires!$D$6</f>
        <v>1600</v>
      </c>
      <c r="AQ9" s="118">
        <f>F9*Navires!$E$6</f>
        <v>9824</v>
      </c>
      <c r="AR9" s="118">
        <f>G9*Navires!$F$6</f>
        <v>8169.6</v>
      </c>
      <c r="AS9" s="118">
        <f>H9*Navires!$G$6</f>
        <v>2720</v>
      </c>
      <c r="AT9" s="118">
        <f>I9*Navires!$H$6</f>
        <v>2720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11788.08</v>
      </c>
      <c r="BE9" s="118" t="s">
        <v>41</v>
      </c>
      <c r="BF9" s="118">
        <f>C9*Navires!$B$6</f>
        <v>7985.5999999999995</v>
      </c>
      <c r="BG9" s="118">
        <f>D9*Navires!$B$6</f>
        <v>6274.4</v>
      </c>
      <c r="BH9" s="118">
        <f>E9*Navires!$B$6</f>
        <v>1140.8</v>
      </c>
      <c r="BI9" s="118">
        <f>F9*Navires!$B$6</f>
        <v>4563.2</v>
      </c>
      <c r="BJ9" s="118">
        <f>G9*Navires!$B$6</f>
        <v>6844.7999999999993</v>
      </c>
      <c r="BK9" s="118">
        <f>H9*Navires!$B$6</f>
        <v>2281.6</v>
      </c>
      <c r="BL9" s="118">
        <f>I9*Navires!$B$6</f>
        <v>2281.6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53332.399999999994</v>
      </c>
    </row>
    <row r="10" spans="1:73" x14ac:dyDescent="0.25">
      <c r="A10" t="s">
        <v>54</v>
      </c>
      <c r="B10" s="2" t="s">
        <v>42</v>
      </c>
      <c r="C10" s="2">
        <v>11</v>
      </c>
      <c r="D10" s="2">
        <v>9</v>
      </c>
      <c r="E10" s="2">
        <v>0</v>
      </c>
      <c r="F10" s="2">
        <v>12</v>
      </c>
      <c r="G10" s="2">
        <v>18</v>
      </c>
      <c r="H10" s="2">
        <v>6</v>
      </c>
      <c r="I10" s="2">
        <v>7</v>
      </c>
      <c r="J10" s="2"/>
      <c r="K10" s="2"/>
      <c r="L10" s="2"/>
      <c r="M10" s="118">
        <v>0</v>
      </c>
      <c r="N10" s="2"/>
      <c r="O10" s="2"/>
      <c r="P10" s="2"/>
      <c r="Q10" s="32"/>
      <c r="R10" s="34">
        <f t="shared" si="0"/>
        <v>63</v>
      </c>
      <c r="S10" s="82">
        <f t="shared" si="1"/>
        <v>14.221218961625283</v>
      </c>
      <c r="U10" s="2" t="s">
        <v>42</v>
      </c>
      <c r="V10" s="2">
        <f>C10*Navires!$B$2</f>
        <v>21505</v>
      </c>
      <c r="W10" s="2">
        <f>D10*Navires!$C$2</f>
        <v>17595</v>
      </c>
      <c r="X10" s="2">
        <f>E10*Navires!$D$2</f>
        <v>0</v>
      </c>
      <c r="Y10" s="2">
        <f>F10*Navires!$E$2</f>
        <v>22560</v>
      </c>
      <c r="Z10" s="2">
        <f>G10*Navires!$F$2</f>
        <v>34128</v>
      </c>
      <c r="AA10" s="2">
        <f>H10*Navires!$G$2</f>
        <v>12000</v>
      </c>
      <c r="AB10" s="2">
        <f>I10*Navires!$H$2</f>
        <v>14000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121788</v>
      </c>
      <c r="AM10" s="118" t="s">
        <v>42</v>
      </c>
      <c r="AN10" s="118">
        <f>C10*Navires!$B$6</f>
        <v>6274.4</v>
      </c>
      <c r="AO10" s="118">
        <f>D10*Navires!$C$6</f>
        <v>5133.5999999999995</v>
      </c>
      <c r="AP10" s="118">
        <f>E10*Navires!$D$6</f>
        <v>0</v>
      </c>
      <c r="AQ10" s="118">
        <f>F10*Navires!$E$6</f>
        <v>14736</v>
      </c>
      <c r="AR10" s="118">
        <f>G10*Navires!$F$6</f>
        <v>12254.400000000001</v>
      </c>
      <c r="AS10" s="118">
        <f>H10*Navires!$G$6</f>
        <v>4080</v>
      </c>
      <c r="AT10" s="118">
        <f>I10*Navires!$H$6</f>
        <v>4760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14171.52</v>
      </c>
      <c r="BE10" s="118" t="s">
        <v>42</v>
      </c>
      <c r="BF10" s="118">
        <f>C10*Navires!$B$6</f>
        <v>6274.4</v>
      </c>
      <c r="BG10" s="118">
        <f>D10*Navires!$B$6</f>
        <v>5133.5999999999995</v>
      </c>
      <c r="BH10" s="118">
        <f>E10*Navires!$B$6</f>
        <v>0</v>
      </c>
      <c r="BI10" s="118">
        <f>F10*Navires!$B$6</f>
        <v>6844.7999999999993</v>
      </c>
      <c r="BJ10" s="118">
        <f>G10*Navires!$B$6</f>
        <v>10267.199999999999</v>
      </c>
      <c r="BK10" s="118">
        <f>H10*Navires!$B$6</f>
        <v>3422.3999999999996</v>
      </c>
      <c r="BL10" s="118">
        <f>I10*Navires!$B$6</f>
        <v>3992.7999999999997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61089.840000000004</v>
      </c>
    </row>
    <row r="11" spans="1:73" x14ac:dyDescent="0.25">
      <c r="A11" t="s">
        <v>55</v>
      </c>
      <c r="B11" s="2" t="s">
        <v>43</v>
      </c>
      <c r="C11" s="2">
        <v>15</v>
      </c>
      <c r="D11" s="2">
        <v>8</v>
      </c>
      <c r="E11" s="2">
        <v>0</v>
      </c>
      <c r="F11" s="2">
        <v>12</v>
      </c>
      <c r="G11" s="2">
        <v>12</v>
      </c>
      <c r="H11" s="2">
        <v>8</v>
      </c>
      <c r="I11" s="2">
        <v>9</v>
      </c>
      <c r="J11" s="2"/>
      <c r="K11" s="2"/>
      <c r="L11" s="2"/>
      <c r="M11" s="118">
        <v>0</v>
      </c>
      <c r="N11" s="2"/>
      <c r="O11" s="2"/>
      <c r="P11" s="2"/>
      <c r="Q11" s="32"/>
      <c r="R11" s="34">
        <f t="shared" si="0"/>
        <v>64</v>
      </c>
      <c r="S11" s="82">
        <f t="shared" si="1"/>
        <v>14.446952595936796</v>
      </c>
      <c r="U11" s="2" t="s">
        <v>43</v>
      </c>
      <c r="V11" s="2">
        <f>C11*Navires!$B$2</f>
        <v>29325</v>
      </c>
      <c r="W11" s="2">
        <f>D11*Navires!$C$2</f>
        <v>15640</v>
      </c>
      <c r="X11" s="2">
        <f>E11*Navires!$D$2</f>
        <v>0</v>
      </c>
      <c r="Y11" s="2">
        <f>F11*Navires!$E$2</f>
        <v>22560</v>
      </c>
      <c r="Z11" s="2">
        <f>G11*Navires!$F$2</f>
        <v>22752</v>
      </c>
      <c r="AA11" s="2">
        <f>H11*Navires!$G$2</f>
        <v>16000</v>
      </c>
      <c r="AB11" s="2">
        <f>I11*Navires!$H$2</f>
        <v>18000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124277</v>
      </c>
      <c r="AM11" s="118" t="s">
        <v>43</v>
      </c>
      <c r="AN11" s="118">
        <f>C11*Navires!$B$6</f>
        <v>8556</v>
      </c>
      <c r="AO11" s="118">
        <f>D11*Navires!$C$6</f>
        <v>4563.2</v>
      </c>
      <c r="AP11" s="118">
        <f>E11*Navires!$D$6</f>
        <v>0</v>
      </c>
      <c r="AQ11" s="118">
        <f>F11*Navires!$E$6</f>
        <v>14736</v>
      </c>
      <c r="AR11" s="118">
        <f>G11*Navires!$F$6</f>
        <v>8169.6</v>
      </c>
      <c r="AS11" s="118">
        <f>H11*Navires!$G$6</f>
        <v>5440</v>
      </c>
      <c r="AT11" s="118">
        <f>I11*Navires!$H$6</f>
        <v>6120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14275.44</v>
      </c>
      <c r="BE11" s="118" t="s">
        <v>43</v>
      </c>
      <c r="BF11" s="118">
        <f>C11*Navires!$B$6</f>
        <v>8556</v>
      </c>
      <c r="BG11" s="118">
        <f>D11*Navires!$B$6</f>
        <v>4563.2</v>
      </c>
      <c r="BH11" s="118">
        <f>E11*Navires!$B$6</f>
        <v>0</v>
      </c>
      <c r="BI11" s="118">
        <f>F11*Navires!$B$6</f>
        <v>6844.7999999999993</v>
      </c>
      <c r="BJ11" s="118">
        <f>G11*Navires!$B$6</f>
        <v>6844.7999999999993</v>
      </c>
      <c r="BK11" s="118">
        <f>H11*Navires!$B$6</f>
        <v>4563.2</v>
      </c>
      <c r="BL11" s="118">
        <f>I11*Navires!$B$6</f>
        <v>5133.5999999999995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62059.519999999997</v>
      </c>
    </row>
    <row r="12" spans="1:73" x14ac:dyDescent="0.25">
      <c r="A12" t="s">
        <v>56</v>
      </c>
      <c r="B12" s="2" t="s">
        <v>44</v>
      </c>
      <c r="C12" s="2">
        <v>10</v>
      </c>
      <c r="D12" s="2">
        <v>10</v>
      </c>
      <c r="E12" s="2">
        <v>0</v>
      </c>
      <c r="F12" s="2">
        <v>7</v>
      </c>
      <c r="G12" s="2">
        <v>9</v>
      </c>
      <c r="H12" s="2">
        <v>10</v>
      </c>
      <c r="I12" s="2">
        <v>11</v>
      </c>
      <c r="J12" s="2"/>
      <c r="K12" s="2"/>
      <c r="L12" s="2"/>
      <c r="M12" s="118">
        <v>0</v>
      </c>
      <c r="N12" s="2"/>
      <c r="O12" s="2"/>
      <c r="P12" s="2"/>
      <c r="Q12" s="32"/>
      <c r="R12" s="34">
        <f t="shared" si="0"/>
        <v>57</v>
      </c>
      <c r="S12" s="82">
        <f t="shared" si="1"/>
        <v>13.317757009345794</v>
      </c>
      <c r="U12" s="2" t="s">
        <v>44</v>
      </c>
      <c r="V12" s="2">
        <f>C12*Navires!$B$2</f>
        <v>19550</v>
      </c>
      <c r="W12" s="2">
        <f>D12*Navires!$C$2</f>
        <v>19550</v>
      </c>
      <c r="X12" s="2">
        <f>E12*Navires!$D$2</f>
        <v>0</v>
      </c>
      <c r="Y12" s="2">
        <f>F12*Navires!$E$2</f>
        <v>13160</v>
      </c>
      <c r="Z12" s="2">
        <f>G12*Navires!$F$2</f>
        <v>17064</v>
      </c>
      <c r="AA12" s="2">
        <f>H12*Navires!$G$2</f>
        <v>20000</v>
      </c>
      <c r="AB12" s="2">
        <f>I12*Navires!$H$2</f>
        <v>22000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111324</v>
      </c>
      <c r="AM12" s="118" t="s">
        <v>44</v>
      </c>
      <c r="AN12" s="118">
        <f>C12*Navires!$B$6</f>
        <v>5704</v>
      </c>
      <c r="AO12" s="118">
        <f>D12*Navires!$C$6</f>
        <v>5704</v>
      </c>
      <c r="AP12" s="118">
        <f>E12*Navires!$D$6</f>
        <v>0</v>
      </c>
      <c r="AQ12" s="118">
        <f>F12*Navires!$E$6</f>
        <v>8596</v>
      </c>
      <c r="AR12" s="118">
        <f>G12*Navires!$F$6</f>
        <v>6127.2000000000007</v>
      </c>
      <c r="AS12" s="118">
        <f>H12*Navires!$G$6</f>
        <v>6800</v>
      </c>
      <c r="AT12" s="118">
        <f>I12*Navires!$H$6</f>
        <v>7480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12123.359999999999</v>
      </c>
      <c r="BE12" s="118" t="s">
        <v>44</v>
      </c>
      <c r="BF12" s="118">
        <f>C12*Navires!$B$6</f>
        <v>5704</v>
      </c>
      <c r="BG12" s="118">
        <f>D12*Navires!$B$6</f>
        <v>5704</v>
      </c>
      <c r="BH12" s="118">
        <f>E12*Navires!$B$6</f>
        <v>0</v>
      </c>
      <c r="BI12" s="118">
        <f>F12*Navires!$B$6</f>
        <v>3992.7999999999997</v>
      </c>
      <c r="BJ12" s="118">
        <f>G12*Navires!$B$6</f>
        <v>5133.5999999999995</v>
      </c>
      <c r="BK12" s="118">
        <f>H12*Navires!$B$6</f>
        <v>5704</v>
      </c>
      <c r="BL12" s="118">
        <f>I12*Navires!$B$6</f>
        <v>6274.4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55271.759999999995</v>
      </c>
    </row>
    <row r="13" spans="1:73" x14ac:dyDescent="0.25">
      <c r="A13" t="s">
        <v>57</v>
      </c>
      <c r="B13" s="2" t="s">
        <v>45</v>
      </c>
      <c r="C13" s="2">
        <v>2</v>
      </c>
      <c r="D13" s="2">
        <v>18</v>
      </c>
      <c r="E13" s="2">
        <v>16</v>
      </c>
      <c r="F13" s="2">
        <v>1</v>
      </c>
      <c r="G13" s="2">
        <v>1</v>
      </c>
      <c r="H13" s="2">
        <v>2</v>
      </c>
      <c r="I13" s="2">
        <v>1</v>
      </c>
      <c r="J13" s="2"/>
      <c r="K13" s="2"/>
      <c r="L13" s="2"/>
      <c r="M13" s="118">
        <v>0</v>
      </c>
      <c r="N13" s="2"/>
      <c r="O13" s="2"/>
      <c r="P13" s="2"/>
      <c r="Q13" s="32"/>
      <c r="R13" s="34">
        <f t="shared" si="0"/>
        <v>41</v>
      </c>
      <c r="S13" s="82">
        <f t="shared" si="1"/>
        <v>9.255079006772009</v>
      </c>
      <c r="U13" s="2" t="s">
        <v>45</v>
      </c>
      <c r="V13" s="2">
        <f>C13*Navires!$B$2</f>
        <v>3910</v>
      </c>
      <c r="W13" s="2">
        <f>D13*Navires!$C$2</f>
        <v>35190</v>
      </c>
      <c r="X13" s="2">
        <f>E13*Navires!$D$2</f>
        <v>33696</v>
      </c>
      <c r="Y13" s="2">
        <f>F13*Navires!$E$2</f>
        <v>1880</v>
      </c>
      <c r="Z13" s="2">
        <f>G13*Navires!$F$2</f>
        <v>1896</v>
      </c>
      <c r="AA13" s="2">
        <f>H13*Navires!$G$2</f>
        <v>4000</v>
      </c>
      <c r="AB13" s="2">
        <f>I13*Navires!$H$2</f>
        <v>2000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82572</v>
      </c>
      <c r="AM13" s="118" t="s">
        <v>45</v>
      </c>
      <c r="AN13" s="118">
        <f>C13*Navires!$B$6</f>
        <v>1140.8</v>
      </c>
      <c r="AO13" s="118">
        <f>D13*Navires!$C$6</f>
        <v>10267.199999999999</v>
      </c>
      <c r="AP13" s="118">
        <f>E13*Navires!$D$6</f>
        <v>12800</v>
      </c>
      <c r="AQ13" s="118">
        <f>F13*Navires!$E$6</f>
        <v>1228</v>
      </c>
      <c r="AR13" s="118">
        <f>G13*Navires!$F$6</f>
        <v>680.80000000000007</v>
      </c>
      <c r="AS13" s="118">
        <f>H13*Navires!$G$6</f>
        <v>1360</v>
      </c>
      <c r="AT13" s="118">
        <f>I13*Navires!$H$6</f>
        <v>680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14078.4</v>
      </c>
      <c r="BE13" s="118" t="s">
        <v>45</v>
      </c>
      <c r="BF13" s="118">
        <f>C13*Navires!$B$6</f>
        <v>1140.8</v>
      </c>
      <c r="BG13" s="118">
        <f>D13*Navires!$B$6</f>
        <v>10267.199999999999</v>
      </c>
      <c r="BH13" s="118">
        <f>E13*Navires!$B$6</f>
        <v>9126.4</v>
      </c>
      <c r="BI13" s="118">
        <f>F13*Navires!$B$6</f>
        <v>570.4</v>
      </c>
      <c r="BJ13" s="118">
        <f>G13*Navires!$B$6</f>
        <v>570.4</v>
      </c>
      <c r="BK13" s="118">
        <f>H13*Navires!$B$6</f>
        <v>1140.8</v>
      </c>
      <c r="BL13" s="118">
        <f>I13*Navires!$B$6</f>
        <v>570.4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39756.880000000005</v>
      </c>
    </row>
    <row r="14" spans="1:73" x14ac:dyDescent="0.25">
      <c r="A14" t="s">
        <v>58</v>
      </c>
      <c r="B14" s="2" t="s">
        <v>46</v>
      </c>
      <c r="C14" s="2">
        <v>10</v>
      </c>
      <c r="D14" s="2">
        <v>1</v>
      </c>
      <c r="E14" s="2">
        <v>3</v>
      </c>
      <c r="F14" s="2">
        <v>2</v>
      </c>
      <c r="G14" s="2">
        <v>2</v>
      </c>
      <c r="H14" s="2">
        <v>14</v>
      </c>
      <c r="I14" s="2">
        <v>0</v>
      </c>
      <c r="J14" s="2"/>
      <c r="K14" s="2"/>
      <c r="L14" s="2"/>
      <c r="M14" s="118">
        <v>0</v>
      </c>
      <c r="N14" s="2"/>
      <c r="O14" s="2"/>
      <c r="P14" s="2"/>
      <c r="Q14" s="32"/>
      <c r="R14" s="34">
        <f t="shared" si="0"/>
        <v>32</v>
      </c>
      <c r="S14" s="82">
        <f t="shared" si="1"/>
        <v>7.4766355140186915</v>
      </c>
      <c r="U14" s="2" t="s">
        <v>46</v>
      </c>
      <c r="V14" s="2">
        <f>C14*Navires!$B$2</f>
        <v>19550</v>
      </c>
      <c r="W14" s="2">
        <f>D14*Navires!$C$2</f>
        <v>1955</v>
      </c>
      <c r="X14" s="2">
        <f>E14*Navires!$D$2</f>
        <v>6318</v>
      </c>
      <c r="Y14" s="2">
        <f>F14*Navires!$E$2</f>
        <v>3760</v>
      </c>
      <c r="Z14" s="2">
        <f>G14*Navires!$F$2</f>
        <v>3792</v>
      </c>
      <c r="AA14" s="2">
        <f>H14*Navires!$G$2</f>
        <v>28000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63375</v>
      </c>
      <c r="AM14" s="118" t="s">
        <v>46</v>
      </c>
      <c r="AN14" s="118">
        <f>C14*Navires!$B$6</f>
        <v>5704</v>
      </c>
      <c r="AO14" s="118">
        <f>D14*Navires!$C$6</f>
        <v>570.4</v>
      </c>
      <c r="AP14" s="118">
        <f>E14*Navires!$D$6</f>
        <v>2400</v>
      </c>
      <c r="AQ14" s="118">
        <f>F14*Navires!$E$6</f>
        <v>2456</v>
      </c>
      <c r="AR14" s="118">
        <f>G14*Navires!$F$6</f>
        <v>1361.6000000000001</v>
      </c>
      <c r="AS14" s="118">
        <f>H14*Navires!$G$6</f>
        <v>9520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11006</v>
      </c>
      <c r="BE14" s="118" t="s">
        <v>46</v>
      </c>
      <c r="BF14" s="118">
        <f>C14*Navires!$B$6</f>
        <v>5704</v>
      </c>
      <c r="BG14" s="118">
        <f>D14*Navires!$B$6</f>
        <v>570.4</v>
      </c>
      <c r="BH14" s="118">
        <f>E14*Navires!$B$6</f>
        <v>1711.1999999999998</v>
      </c>
      <c r="BI14" s="118">
        <f>F14*Navires!$B$6</f>
        <v>1140.8</v>
      </c>
      <c r="BJ14" s="118">
        <f>G14*Navires!$B$6</f>
        <v>1140.8</v>
      </c>
      <c r="BK14" s="118">
        <f>H14*Navires!$B$6</f>
        <v>7985.5999999999995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12776.96</v>
      </c>
    </row>
    <row r="15" spans="1:73" x14ac:dyDescent="0.25">
      <c r="A15" t="s">
        <v>59</v>
      </c>
      <c r="B15" s="2" t="s">
        <v>47</v>
      </c>
      <c r="C15" s="2">
        <v>3</v>
      </c>
      <c r="D15" s="2">
        <v>0</v>
      </c>
      <c r="E15" s="2">
        <v>8</v>
      </c>
      <c r="F15" s="2">
        <v>9</v>
      </c>
      <c r="G15" s="2">
        <v>3</v>
      </c>
      <c r="H15" s="2">
        <v>7</v>
      </c>
      <c r="I15" s="2">
        <v>0</v>
      </c>
      <c r="J15" s="2"/>
      <c r="K15" s="2"/>
      <c r="L15" s="2"/>
      <c r="M15" s="118">
        <v>2</v>
      </c>
      <c r="N15" s="2"/>
      <c r="O15" s="2"/>
      <c r="P15" s="2"/>
      <c r="Q15" s="32"/>
      <c r="R15" s="34">
        <f t="shared" si="0"/>
        <v>32</v>
      </c>
      <c r="S15" s="82">
        <f t="shared" si="1"/>
        <v>7.2234762979683982</v>
      </c>
      <c r="U15" s="2" t="s">
        <v>47</v>
      </c>
      <c r="V15" s="2">
        <f>C15*Navires!$B$2</f>
        <v>5865</v>
      </c>
      <c r="W15" s="2">
        <f>D15*Navires!$C$2</f>
        <v>0</v>
      </c>
      <c r="X15" s="2">
        <f>E15*Navires!$D$2</f>
        <v>16848</v>
      </c>
      <c r="Y15" s="2">
        <f>F15*Navires!$E$2</f>
        <v>16920</v>
      </c>
      <c r="Z15" s="2">
        <f>G15*Navires!$F$2</f>
        <v>5688</v>
      </c>
      <c r="AA15" s="2">
        <f>H15*Navires!$G$2</f>
        <v>14000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3580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62901</v>
      </c>
      <c r="AM15" s="118" t="s">
        <v>47</v>
      </c>
      <c r="AN15" s="118">
        <f>C15*Navires!$B$6</f>
        <v>1711.1999999999998</v>
      </c>
      <c r="AO15" s="118">
        <f>D15*Navires!$C$6</f>
        <v>0</v>
      </c>
      <c r="AP15" s="118">
        <f>E15*Navires!$D$6</f>
        <v>6400</v>
      </c>
      <c r="AQ15" s="118">
        <f>F15*Navires!$E$6</f>
        <v>11052</v>
      </c>
      <c r="AR15" s="118">
        <f>G15*Navires!$F$6</f>
        <v>2042.4</v>
      </c>
      <c r="AS15" s="118">
        <f>H15*Navires!$G$6</f>
        <v>4760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1360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13662.800000000001</v>
      </c>
      <c r="BE15" s="118" t="s">
        <v>47</v>
      </c>
      <c r="BF15" s="118">
        <f>C15*Navires!$B$6</f>
        <v>1711.1999999999998</v>
      </c>
      <c r="BG15" s="118">
        <f>D15*Navires!$B$6</f>
        <v>0</v>
      </c>
      <c r="BH15" s="118">
        <f>E15*Navires!$B$6</f>
        <v>4563.2</v>
      </c>
      <c r="BI15" s="118">
        <f>F15*Navires!$B$6</f>
        <v>5133.5999999999995</v>
      </c>
      <c r="BJ15" s="118">
        <f>G15*Navires!$B$6</f>
        <v>1711.1999999999998</v>
      </c>
      <c r="BK15" s="118">
        <f>H15*Navires!$B$6</f>
        <v>3992.7999999999997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1140.8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12776.96</v>
      </c>
    </row>
    <row r="16" spans="1:73" x14ac:dyDescent="0.25">
      <c r="B16" s="29" t="s">
        <v>60</v>
      </c>
      <c r="C16" s="30">
        <f>SUM(C4:C15)</f>
        <v>74</v>
      </c>
      <c r="D16" s="30">
        <f t="shared" ref="D16:Q16" si="2">SUM(D4:D15)</f>
        <v>88</v>
      </c>
      <c r="E16" s="30">
        <f>SUM(E4:E15)</f>
        <v>120</v>
      </c>
      <c r="F16" s="30">
        <f t="shared" si="2"/>
        <v>63</v>
      </c>
      <c r="G16" s="30">
        <f t="shared" si="2"/>
        <v>69</v>
      </c>
      <c r="H16" s="30">
        <f t="shared" si="2"/>
        <v>81</v>
      </c>
      <c r="I16" s="30">
        <f t="shared" si="2"/>
        <v>35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2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532</v>
      </c>
      <c r="S16" s="82">
        <f t="shared" si="1"/>
        <v>10.205256090542873</v>
      </c>
      <c r="U16" s="29" t="s">
        <v>60</v>
      </c>
      <c r="V16" s="30">
        <f>SUM(V4:V15)</f>
        <v>144670</v>
      </c>
      <c r="W16" s="30">
        <f t="shared" ref="W16:AJ16" si="3">SUM(W4:W15)</f>
        <v>172040</v>
      </c>
      <c r="X16" s="30">
        <f t="shared" si="3"/>
        <v>252720</v>
      </c>
      <c r="Y16" s="30">
        <f t="shared" si="3"/>
        <v>118440</v>
      </c>
      <c r="Z16" s="30">
        <f t="shared" si="3"/>
        <v>130824</v>
      </c>
      <c r="AA16" s="30">
        <f t="shared" si="3"/>
        <v>162000</v>
      </c>
      <c r="AB16" s="30">
        <f t="shared" si="3"/>
        <v>70000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3580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42209.599999999999</v>
      </c>
      <c r="AO16" s="30">
        <f t="shared" ref="AO16:BB16" si="4">SUM(AO4:AO15)</f>
        <v>50195.19999999999</v>
      </c>
      <c r="AP16" s="30">
        <f t="shared" si="4"/>
        <v>96000</v>
      </c>
      <c r="AQ16" s="30">
        <f t="shared" si="4"/>
        <v>77364</v>
      </c>
      <c r="AR16" s="30">
        <f t="shared" si="4"/>
        <v>46975.200000000012</v>
      </c>
      <c r="AS16" s="30">
        <f t="shared" si="4"/>
        <v>55080</v>
      </c>
      <c r="AT16" s="30">
        <f t="shared" si="4"/>
        <v>23800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1360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42209.599999999999</v>
      </c>
      <c r="BG16" s="30">
        <f t="shared" ref="BG16:BT16" si="5">SUM(BG4:BG15)</f>
        <v>50195.19999999999</v>
      </c>
      <c r="BH16" s="30">
        <f t="shared" si="5"/>
        <v>68448</v>
      </c>
      <c r="BI16" s="30">
        <f t="shared" si="5"/>
        <v>35935.199999999997</v>
      </c>
      <c r="BJ16" s="30">
        <f t="shared" si="5"/>
        <v>39357.599999999999</v>
      </c>
      <c r="BK16" s="30">
        <f t="shared" si="5"/>
        <v>46202.400000000001</v>
      </c>
      <c r="BL16" s="30">
        <f t="shared" si="5"/>
        <v>19964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1140.8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1</v>
      </c>
      <c r="D21" s="2">
        <v>0</v>
      </c>
      <c r="E21" s="2">
        <v>16</v>
      </c>
      <c r="F21" s="2">
        <v>1</v>
      </c>
      <c r="G21" s="2">
        <v>5</v>
      </c>
      <c r="H21" s="2">
        <v>10</v>
      </c>
      <c r="I21" s="2">
        <v>0</v>
      </c>
      <c r="J21" s="2"/>
      <c r="K21" s="2"/>
      <c r="L21" s="2"/>
      <c r="M21" s="2">
        <v>0</v>
      </c>
      <c r="N21" s="2"/>
      <c r="O21" s="2"/>
      <c r="P21" s="2"/>
      <c r="Q21" s="32"/>
      <c r="R21" s="34">
        <f>SUM(C21:Q21)</f>
        <v>33</v>
      </c>
      <c r="S21" s="82">
        <f>R21/R36</f>
        <v>7.4492099322799099</v>
      </c>
      <c r="U21" s="2" t="s">
        <v>36</v>
      </c>
      <c r="V21" s="2">
        <f>C21*Navires!$B$2</f>
        <v>1955</v>
      </c>
      <c r="W21" s="2">
        <f>D21*Navires!$C$2</f>
        <v>0</v>
      </c>
      <c r="X21" s="2">
        <f>E21*Navires!$D$2</f>
        <v>33696</v>
      </c>
      <c r="Y21" s="2">
        <f>F21*Navires!$E$2</f>
        <v>1880</v>
      </c>
      <c r="Z21" s="2">
        <f>G21*Navires!$F$2</f>
        <v>9480</v>
      </c>
      <c r="AA21" s="2">
        <f>H21*Navires!$G$2</f>
        <v>20000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67011</v>
      </c>
      <c r="AM21" s="118" t="s">
        <v>36</v>
      </c>
      <c r="AN21" s="118">
        <f>C21*Navires!$B$6</f>
        <v>570.4</v>
      </c>
      <c r="AO21" s="118">
        <f>D21*Navires!$C$6</f>
        <v>0</v>
      </c>
      <c r="AP21" s="118">
        <f>E21*Navires!$D$6</f>
        <v>12800</v>
      </c>
      <c r="AQ21" s="118">
        <f>F21*Navires!$E$6</f>
        <v>1228</v>
      </c>
      <c r="AR21" s="118">
        <f>G21*Navires!$F$6</f>
        <v>3404.0000000000005</v>
      </c>
      <c r="AS21" s="118">
        <f>H21*Navires!$G$6</f>
        <v>6800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12401.2</v>
      </c>
      <c r="BE21" s="118" t="s">
        <v>36</v>
      </c>
      <c r="BF21" s="118">
        <f>C21*Navires!$B$6</f>
        <v>570.4</v>
      </c>
      <c r="BG21" s="118">
        <f>D21*Navires!$B$6</f>
        <v>0</v>
      </c>
      <c r="BH21" s="118">
        <f>E21*Navires!$B$6</f>
        <v>9126.4</v>
      </c>
      <c r="BI21" s="118">
        <f>F21*Navires!$B$6</f>
        <v>570.4</v>
      </c>
      <c r="BJ21" s="118">
        <f>G21*Navires!$B$6</f>
        <v>2852</v>
      </c>
      <c r="BK21" s="118">
        <f>H21*Navires!$B$6</f>
        <v>5704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13176.239999999998</v>
      </c>
    </row>
    <row r="22" spans="1:73" x14ac:dyDescent="0.25">
      <c r="A22" t="s">
        <v>49</v>
      </c>
      <c r="B22" s="2" t="s">
        <v>37</v>
      </c>
      <c r="C22" s="2">
        <v>1</v>
      </c>
      <c r="D22" s="2">
        <v>0</v>
      </c>
      <c r="E22">
        <v>16</v>
      </c>
      <c r="F22" s="2">
        <v>2</v>
      </c>
      <c r="G22" s="2">
        <v>3</v>
      </c>
      <c r="H22" s="2">
        <v>9</v>
      </c>
      <c r="I22" s="2">
        <v>0</v>
      </c>
      <c r="J22" s="2"/>
      <c r="K22" s="2"/>
      <c r="L22" s="2"/>
      <c r="M22" s="2">
        <v>0</v>
      </c>
      <c r="N22" s="2"/>
      <c r="O22" s="2"/>
      <c r="P22" s="2"/>
      <c r="Q22" s="32"/>
      <c r="R22" s="34">
        <f t="shared" ref="R22:R33" si="6">SUM(C22:Q22)</f>
        <v>31</v>
      </c>
      <c r="S22" s="82">
        <f t="shared" ref="S22:S33" si="7">R22/R37</f>
        <v>7.75</v>
      </c>
      <c r="U22" s="2" t="s">
        <v>37</v>
      </c>
      <c r="V22" s="2">
        <f>C22*Navires!$B$2</f>
        <v>1955</v>
      </c>
      <c r="W22" s="2">
        <f>D22*Navires!$C$2</f>
        <v>0</v>
      </c>
      <c r="X22" s="2">
        <f>E22*Navires!$D$2</f>
        <v>33696</v>
      </c>
      <c r="Y22" s="2">
        <f>F22*Navires!$E$2</f>
        <v>3760</v>
      </c>
      <c r="Z22" s="2">
        <f>G22*Navires!$F$2</f>
        <v>5688</v>
      </c>
      <c r="AA22" s="2">
        <f>H22*Navires!$G$2</f>
        <v>18000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63099</v>
      </c>
      <c r="AM22" s="118" t="s">
        <v>37</v>
      </c>
      <c r="AN22" s="118">
        <f>C22*Navires!$B$6</f>
        <v>570.4</v>
      </c>
      <c r="AO22" s="118">
        <f>D22*Navires!$C$6</f>
        <v>0</v>
      </c>
      <c r="AP22" s="118">
        <f>E22*Navires!$D$6</f>
        <v>12800</v>
      </c>
      <c r="AQ22" s="118">
        <f>F22*Navires!$E$6</f>
        <v>2456</v>
      </c>
      <c r="AR22" s="118">
        <f>G22*Navires!$F$6</f>
        <v>2042.4</v>
      </c>
      <c r="AS22" s="118">
        <f>H22*Navires!$G$6</f>
        <v>6120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11994.4</v>
      </c>
      <c r="BE22" s="118" t="s">
        <v>37</v>
      </c>
      <c r="BF22" s="118">
        <f>C22*Navires!$B$6</f>
        <v>570.4</v>
      </c>
      <c r="BG22" s="118">
        <f>D22*Navires!$B$6</f>
        <v>0</v>
      </c>
      <c r="BH22" s="118">
        <f>E22*Navires!$B$6</f>
        <v>9126.4</v>
      </c>
      <c r="BI22" s="118">
        <f>F22*Navires!$B$6</f>
        <v>1140.8</v>
      </c>
      <c r="BJ22" s="118">
        <f>G22*Navires!$B$6</f>
        <v>1711.1999999999998</v>
      </c>
      <c r="BK22" s="118">
        <f>H22*Navires!$B$6</f>
        <v>5133.5999999999995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12377.679999999998</v>
      </c>
    </row>
    <row r="23" spans="1:73" x14ac:dyDescent="0.25">
      <c r="A23" t="s">
        <v>50</v>
      </c>
      <c r="B23" s="2" t="s">
        <v>38</v>
      </c>
      <c r="C23" s="2">
        <v>7</v>
      </c>
      <c r="D23" s="2">
        <v>1</v>
      </c>
      <c r="E23" s="2">
        <v>16</v>
      </c>
      <c r="F23" s="2">
        <v>5</v>
      </c>
      <c r="G23" s="2">
        <v>2</v>
      </c>
      <c r="H23" s="2">
        <v>1</v>
      </c>
      <c r="I23" s="2">
        <v>1</v>
      </c>
      <c r="J23" s="2"/>
      <c r="K23" s="2"/>
      <c r="L23" s="2"/>
      <c r="M23" s="2">
        <v>0</v>
      </c>
      <c r="N23" s="2"/>
      <c r="O23" s="2"/>
      <c r="P23" s="2"/>
      <c r="Q23" s="32"/>
      <c r="R23" s="34">
        <f t="shared" si="6"/>
        <v>33</v>
      </c>
      <c r="S23" s="82">
        <f t="shared" si="7"/>
        <v>7.4492099322799099</v>
      </c>
      <c r="U23" s="2" t="s">
        <v>38</v>
      </c>
      <c r="V23" s="2">
        <f>C23*Navires!$B$2</f>
        <v>13685</v>
      </c>
      <c r="W23" s="2">
        <f>D23*Navires!$C$2</f>
        <v>1955</v>
      </c>
      <c r="X23" s="2">
        <f>E23*Navires!$D$2</f>
        <v>33696</v>
      </c>
      <c r="Y23" s="2">
        <f>F23*Navires!$E$2</f>
        <v>9400</v>
      </c>
      <c r="Z23" s="2">
        <f>G23*Navires!$F$2</f>
        <v>3792</v>
      </c>
      <c r="AA23" s="2">
        <f>H23*Navires!$G$2</f>
        <v>2000</v>
      </c>
      <c r="AB23" s="2">
        <f>I23*Navires!$H$2</f>
        <v>2000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66528</v>
      </c>
      <c r="AM23" s="118" t="s">
        <v>38</v>
      </c>
      <c r="AN23" s="118">
        <f>C23*Navires!$B$6</f>
        <v>3992.7999999999997</v>
      </c>
      <c r="AO23" s="118">
        <f>D23*Navires!$C$6</f>
        <v>570.4</v>
      </c>
      <c r="AP23" s="118">
        <f>E23*Navires!$D$6</f>
        <v>12800</v>
      </c>
      <c r="AQ23" s="118">
        <f>F23*Navires!$E$6</f>
        <v>6140</v>
      </c>
      <c r="AR23" s="118">
        <f>G23*Navires!$F$6</f>
        <v>1361.6000000000001</v>
      </c>
      <c r="AS23" s="118">
        <f>H23*Navires!$G$6</f>
        <v>680</v>
      </c>
      <c r="AT23" s="118">
        <f>I23*Navires!$H$6</f>
        <v>680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13112.4</v>
      </c>
      <c r="BE23" s="118" t="s">
        <v>38</v>
      </c>
      <c r="BF23" s="118">
        <f>C23*Navires!$B$6</f>
        <v>3992.7999999999997</v>
      </c>
      <c r="BG23" s="118">
        <f>D23*Navires!$B$6</f>
        <v>570.4</v>
      </c>
      <c r="BH23" s="118">
        <f>E23*Navires!$B$6</f>
        <v>9126.4</v>
      </c>
      <c r="BI23" s="118">
        <f>F23*Navires!$B$6</f>
        <v>2852</v>
      </c>
      <c r="BJ23" s="118">
        <f>G23*Navires!$B$6</f>
        <v>1140.8</v>
      </c>
      <c r="BK23" s="118">
        <f>H23*Navires!$B$6</f>
        <v>570.4</v>
      </c>
      <c r="BL23" s="118">
        <f>I23*Navires!$B$6</f>
        <v>570.4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13176.24</v>
      </c>
    </row>
    <row r="24" spans="1:73" x14ac:dyDescent="0.25">
      <c r="A24" t="s">
        <v>51</v>
      </c>
      <c r="B24" s="2" t="s">
        <v>39</v>
      </c>
      <c r="C24" s="2">
        <v>0</v>
      </c>
      <c r="D24" s="2">
        <v>21</v>
      </c>
      <c r="E24" s="2">
        <v>23</v>
      </c>
      <c r="F24" s="2">
        <v>4</v>
      </c>
      <c r="G24" s="2">
        <v>0</v>
      </c>
      <c r="H24" s="2">
        <v>0</v>
      </c>
      <c r="I24" s="2">
        <v>0</v>
      </c>
      <c r="J24" s="2"/>
      <c r="K24" s="2"/>
      <c r="L24" s="2"/>
      <c r="M24" s="2">
        <v>0</v>
      </c>
      <c r="N24" s="2"/>
      <c r="O24" s="2"/>
      <c r="P24" s="2"/>
      <c r="Q24" s="32"/>
      <c r="R24" s="34">
        <f t="shared" si="6"/>
        <v>48</v>
      </c>
      <c r="S24" s="82">
        <f t="shared" si="7"/>
        <v>11.214953271028037</v>
      </c>
      <c r="U24" s="2" t="s">
        <v>39</v>
      </c>
      <c r="V24" s="2">
        <f>C24*Navires!$B$2</f>
        <v>0</v>
      </c>
      <c r="W24" s="2">
        <f>D24*Navires!$C$2</f>
        <v>41055</v>
      </c>
      <c r="X24" s="2">
        <f>E24*Navires!$D$2</f>
        <v>48438</v>
      </c>
      <c r="Y24" s="2">
        <f>F24*Navires!$E$2</f>
        <v>7520</v>
      </c>
      <c r="Z24" s="2">
        <f>G24*Navires!$F$2</f>
        <v>0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97013</v>
      </c>
      <c r="AM24" s="118" t="s">
        <v>39</v>
      </c>
      <c r="AN24" s="118">
        <f>C24*Navires!$B$6</f>
        <v>0</v>
      </c>
      <c r="AO24" s="118">
        <f>D24*Navires!$C$6</f>
        <v>11978.4</v>
      </c>
      <c r="AP24" s="118">
        <f>E24*Navires!$D$6</f>
        <v>18400</v>
      </c>
      <c r="AQ24" s="118">
        <f>F24*Navires!$E$6</f>
        <v>4912</v>
      </c>
      <c r="AR24" s="118">
        <f>G24*Navires!$F$6</f>
        <v>0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17645.2</v>
      </c>
      <c r="BE24" s="118" t="s">
        <v>39</v>
      </c>
      <c r="BF24" s="118">
        <f>C24*Navires!$B$6</f>
        <v>0</v>
      </c>
      <c r="BG24" s="118">
        <f>D24*Navires!$B$6</f>
        <v>11978.4</v>
      </c>
      <c r="BH24" s="118">
        <f>E24*Navires!$B$6</f>
        <v>13119.199999999999</v>
      </c>
      <c r="BI24" s="118">
        <f>F24*Navires!$B$6</f>
        <v>2281.6</v>
      </c>
      <c r="BJ24" s="118">
        <f>G24*Navires!$B$6</f>
        <v>0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46544.639999999992</v>
      </c>
    </row>
    <row r="25" spans="1:73" x14ac:dyDescent="0.25">
      <c r="A25" t="s">
        <v>52</v>
      </c>
      <c r="B25" s="2" t="s">
        <v>40</v>
      </c>
      <c r="C25" s="2">
        <v>0</v>
      </c>
      <c r="D25" s="2">
        <v>8</v>
      </c>
      <c r="E25" s="2">
        <v>22</v>
      </c>
      <c r="F25" s="2">
        <v>0</v>
      </c>
      <c r="G25" s="2">
        <v>0</v>
      </c>
      <c r="H25" s="2">
        <v>11</v>
      </c>
      <c r="I25" s="2">
        <v>2</v>
      </c>
      <c r="J25" s="2"/>
      <c r="K25" s="2"/>
      <c r="L25" s="2"/>
      <c r="M25" s="2">
        <v>0</v>
      </c>
      <c r="N25" s="2"/>
      <c r="O25" s="2"/>
      <c r="P25" s="2"/>
      <c r="Q25" s="32"/>
      <c r="R25" s="34">
        <f t="shared" si="6"/>
        <v>43</v>
      </c>
      <c r="S25" s="82">
        <f t="shared" si="7"/>
        <v>9.7065462753950342</v>
      </c>
      <c r="U25" s="2" t="s">
        <v>40</v>
      </c>
      <c r="V25" s="2">
        <f>C25*Navires!$B$2</f>
        <v>0</v>
      </c>
      <c r="W25" s="2">
        <f>D25*Navires!$C$2</f>
        <v>15640</v>
      </c>
      <c r="X25" s="2">
        <f>E25*Navires!$D$2</f>
        <v>46332</v>
      </c>
      <c r="Y25" s="2">
        <f>F25*Navires!$E$2</f>
        <v>0</v>
      </c>
      <c r="Z25" s="2">
        <f>G25*Navires!$F$2</f>
        <v>0</v>
      </c>
      <c r="AA25" s="2">
        <f>H25*Navires!$G$2</f>
        <v>22000</v>
      </c>
      <c r="AB25" s="2">
        <f>I25*Navires!$H$2</f>
        <v>4000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87972</v>
      </c>
      <c r="AM25" s="118" t="s">
        <v>40</v>
      </c>
      <c r="AN25" s="118">
        <f>C25*Navires!$B$6</f>
        <v>0</v>
      </c>
      <c r="AO25" s="118">
        <f>D25*Navires!$C$6</f>
        <v>4563.2</v>
      </c>
      <c r="AP25" s="118">
        <f>E25*Navires!$D$6</f>
        <v>17600</v>
      </c>
      <c r="AQ25" s="118">
        <f>F25*Navires!$E$6</f>
        <v>0</v>
      </c>
      <c r="AR25" s="118">
        <f>G25*Navires!$F$6</f>
        <v>0</v>
      </c>
      <c r="AS25" s="118">
        <f>H25*Navires!$G$6</f>
        <v>7480</v>
      </c>
      <c r="AT25" s="118">
        <f>I25*Navires!$H$6</f>
        <v>1360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9300.9599999999991</v>
      </c>
      <c r="BE25" s="118" t="s">
        <v>40</v>
      </c>
      <c r="BF25" s="118">
        <f>C25*Navires!$B$6</f>
        <v>0</v>
      </c>
      <c r="BG25" s="118">
        <f>D25*Navires!$B$6</f>
        <v>4563.2</v>
      </c>
      <c r="BH25" s="118">
        <f>E25*Navires!$B$6</f>
        <v>12548.8</v>
      </c>
      <c r="BI25" s="118">
        <f>F25*Navires!$B$6</f>
        <v>0</v>
      </c>
      <c r="BJ25" s="118">
        <f>G25*Navires!$B$6</f>
        <v>0</v>
      </c>
      <c r="BK25" s="118">
        <f>H25*Navires!$B$6</f>
        <v>6274.4</v>
      </c>
      <c r="BL25" s="118">
        <f>I25*Navires!$B$6</f>
        <v>1140.8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41696.239999999998</v>
      </c>
    </row>
    <row r="26" spans="1:73" x14ac:dyDescent="0.25">
      <c r="A26" t="s">
        <v>53</v>
      </c>
      <c r="B26" s="2" t="s">
        <v>41</v>
      </c>
      <c r="C26" s="2">
        <v>15</v>
      </c>
      <c r="D26" s="2">
        <v>10</v>
      </c>
      <c r="E26" s="2">
        <v>1</v>
      </c>
      <c r="F26" s="2">
        <v>8</v>
      </c>
      <c r="G26" s="2">
        <v>13</v>
      </c>
      <c r="H26" s="2">
        <v>3</v>
      </c>
      <c r="I26" s="2">
        <v>4</v>
      </c>
      <c r="J26" s="2"/>
      <c r="K26" s="2"/>
      <c r="L26" s="2"/>
      <c r="M26" s="2">
        <v>0</v>
      </c>
      <c r="N26" s="2"/>
      <c r="O26" s="2"/>
      <c r="P26" s="2"/>
      <c r="Q26" s="32"/>
      <c r="R26" s="34">
        <f t="shared" si="6"/>
        <v>54</v>
      </c>
      <c r="S26" s="82">
        <f t="shared" si="7"/>
        <v>12.616822429906541</v>
      </c>
      <c r="U26" s="2" t="s">
        <v>41</v>
      </c>
      <c r="V26" s="2">
        <f>C26*Navires!$B$2</f>
        <v>29325</v>
      </c>
      <c r="W26" s="2">
        <f>D26*Navires!$C$2</f>
        <v>19550</v>
      </c>
      <c r="X26" s="2">
        <f>E26*Navires!$D$2</f>
        <v>2106</v>
      </c>
      <c r="Y26" s="2">
        <f>F26*Navires!$E$2</f>
        <v>15040</v>
      </c>
      <c r="Z26" s="2">
        <f>G26*Navires!$F$2</f>
        <v>24648</v>
      </c>
      <c r="AA26" s="2">
        <f>H26*Navires!$G$2</f>
        <v>6000</v>
      </c>
      <c r="AB26" s="2">
        <f>I26*Navires!$H$2</f>
        <v>8000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104669</v>
      </c>
      <c r="AM26" s="118" t="s">
        <v>41</v>
      </c>
      <c r="AN26" s="118">
        <f>C26*Navires!$B$6</f>
        <v>8556</v>
      </c>
      <c r="AO26" s="118">
        <f>D26*Navires!$C$6</f>
        <v>5704</v>
      </c>
      <c r="AP26" s="118">
        <f>E26*Navires!$D$6</f>
        <v>800</v>
      </c>
      <c r="AQ26" s="118">
        <f>F26*Navires!$E$6</f>
        <v>9824</v>
      </c>
      <c r="AR26" s="118">
        <f>G26*Navires!$F$6</f>
        <v>8850.4000000000015</v>
      </c>
      <c r="AS26" s="118">
        <f>H26*Navires!$G$6</f>
        <v>2040</v>
      </c>
      <c r="AT26" s="118">
        <f>I26*Navires!$H$6</f>
        <v>2720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11548.32</v>
      </c>
      <c r="BE26" s="118" t="s">
        <v>41</v>
      </c>
      <c r="BF26" s="118">
        <f>C26*Navires!$B$6</f>
        <v>8556</v>
      </c>
      <c r="BG26" s="118">
        <f>D26*Navires!$B$6</f>
        <v>5704</v>
      </c>
      <c r="BH26" s="118">
        <f>E26*Navires!$B$6</f>
        <v>570.4</v>
      </c>
      <c r="BI26" s="118">
        <f>F26*Navires!$B$6</f>
        <v>4563.2</v>
      </c>
      <c r="BJ26" s="118">
        <f>G26*Navires!$B$6</f>
        <v>7415.2</v>
      </c>
      <c r="BK26" s="118">
        <f>H26*Navires!$B$6</f>
        <v>1711.1999999999998</v>
      </c>
      <c r="BL26" s="118">
        <f>I26*Navires!$B$6</f>
        <v>2281.6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52362.719999999994</v>
      </c>
    </row>
    <row r="27" spans="1:73" x14ac:dyDescent="0.25">
      <c r="A27" t="s">
        <v>54</v>
      </c>
      <c r="B27" s="2" t="s">
        <v>42</v>
      </c>
      <c r="C27" s="2">
        <v>11</v>
      </c>
      <c r="D27" s="2">
        <v>9</v>
      </c>
      <c r="E27" s="2">
        <v>0</v>
      </c>
      <c r="F27" s="2">
        <v>15</v>
      </c>
      <c r="G27" s="2">
        <v>16</v>
      </c>
      <c r="H27" s="2">
        <v>6</v>
      </c>
      <c r="I27" s="2">
        <v>6</v>
      </c>
      <c r="J27" s="2"/>
      <c r="K27" s="2"/>
      <c r="L27" s="2"/>
      <c r="M27" s="2">
        <v>0</v>
      </c>
      <c r="N27" s="2"/>
      <c r="O27" s="2"/>
      <c r="P27" s="2"/>
      <c r="Q27" s="32"/>
      <c r="R27" s="34">
        <f t="shared" si="6"/>
        <v>63</v>
      </c>
      <c r="S27" s="82">
        <f t="shared" si="7"/>
        <v>14.221218961625283</v>
      </c>
      <c r="U27" s="2" t="s">
        <v>42</v>
      </c>
      <c r="V27" s="2">
        <f>C27*Navires!$B$2</f>
        <v>21505</v>
      </c>
      <c r="W27" s="2">
        <f>D27*Navires!$C$2</f>
        <v>17595</v>
      </c>
      <c r="X27" s="2">
        <f>E27*Navires!$D$2</f>
        <v>0</v>
      </c>
      <c r="Y27" s="2">
        <f>F27*Navires!$E$2</f>
        <v>28200</v>
      </c>
      <c r="Z27" s="2">
        <f>G27*Navires!$F$2</f>
        <v>30336</v>
      </c>
      <c r="AA27" s="2">
        <f>H27*Navires!$G$2</f>
        <v>12000</v>
      </c>
      <c r="AB27" s="2">
        <f>I27*Navires!$H$2</f>
        <v>12000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121636</v>
      </c>
      <c r="AM27" s="118" t="s">
        <v>42</v>
      </c>
      <c r="AN27" s="118">
        <f>C27*Navires!$B$6</f>
        <v>6274.4</v>
      </c>
      <c r="AO27" s="118">
        <f>D27*Navires!$C$6</f>
        <v>5133.5999999999995</v>
      </c>
      <c r="AP27" s="118">
        <f>E27*Navires!$D$6</f>
        <v>0</v>
      </c>
      <c r="AQ27" s="118">
        <f>F27*Navires!$E$6</f>
        <v>18420</v>
      </c>
      <c r="AR27" s="118">
        <f>G27*Navires!$F$6</f>
        <v>10892.800000000001</v>
      </c>
      <c r="AS27" s="118">
        <f>H27*Navires!$G$6</f>
        <v>4080</v>
      </c>
      <c r="AT27" s="118">
        <f>I27*Navires!$H$6</f>
        <v>4080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14664.24</v>
      </c>
      <c r="BE27" s="118" t="s">
        <v>42</v>
      </c>
      <c r="BF27" s="118">
        <f>C27*Navires!$B$6</f>
        <v>6274.4</v>
      </c>
      <c r="BG27" s="118">
        <f>D27*Navires!$B$6</f>
        <v>5133.5999999999995</v>
      </c>
      <c r="BH27" s="118">
        <f>E27*Navires!$B$6</f>
        <v>0</v>
      </c>
      <c r="BI27" s="118">
        <f>F27*Navires!$B$6</f>
        <v>8556</v>
      </c>
      <c r="BJ27" s="118">
        <f>G27*Navires!$B$6</f>
        <v>9126.4</v>
      </c>
      <c r="BK27" s="118">
        <f>H27*Navires!$B$6</f>
        <v>3422.3999999999996</v>
      </c>
      <c r="BL27" s="118">
        <f>I27*Navires!$B$6</f>
        <v>3422.3999999999996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61089.840000000004</v>
      </c>
    </row>
    <row r="28" spans="1:73" x14ac:dyDescent="0.25">
      <c r="A28" t="s">
        <v>55</v>
      </c>
      <c r="B28" s="2" t="s">
        <v>43</v>
      </c>
      <c r="C28" s="2">
        <v>16</v>
      </c>
      <c r="D28" s="2">
        <v>10</v>
      </c>
      <c r="E28" s="2">
        <v>0</v>
      </c>
      <c r="F28" s="2">
        <v>12</v>
      </c>
      <c r="G28" s="2">
        <v>12</v>
      </c>
      <c r="H28" s="2">
        <v>8</v>
      </c>
      <c r="I28" s="2">
        <v>10</v>
      </c>
      <c r="J28" s="2"/>
      <c r="K28" s="2"/>
      <c r="L28" s="2"/>
      <c r="M28" s="2">
        <v>0</v>
      </c>
      <c r="N28" s="2"/>
      <c r="O28" s="2"/>
      <c r="P28" s="2"/>
      <c r="Q28" s="32"/>
      <c r="R28" s="34">
        <f t="shared" si="6"/>
        <v>68</v>
      </c>
      <c r="S28" s="82">
        <f t="shared" si="7"/>
        <v>15.349887133182845</v>
      </c>
      <c r="U28" s="2" t="s">
        <v>43</v>
      </c>
      <c r="V28" s="2">
        <f>C28*Navires!$B$2</f>
        <v>31280</v>
      </c>
      <c r="W28" s="2">
        <f>D28*Navires!$C$2</f>
        <v>19550</v>
      </c>
      <c r="X28" s="2">
        <f>E28*Navires!$D$2</f>
        <v>0</v>
      </c>
      <c r="Y28" s="2">
        <f>F28*Navires!$E$2</f>
        <v>22560</v>
      </c>
      <c r="Z28" s="2">
        <f>G28*Navires!$F$2</f>
        <v>22752</v>
      </c>
      <c r="AA28" s="2">
        <f>H28*Navires!$G$2</f>
        <v>16000</v>
      </c>
      <c r="AB28" s="2">
        <f>I28*Navires!$H$2</f>
        <v>20000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132142</v>
      </c>
      <c r="AM28" s="118" t="s">
        <v>43</v>
      </c>
      <c r="AN28" s="118">
        <f>C28*Navires!$B$6</f>
        <v>9126.4</v>
      </c>
      <c r="AO28" s="118">
        <f>D28*Navires!$C$6</f>
        <v>5704</v>
      </c>
      <c r="AP28" s="118">
        <f>E28*Navires!$D$6</f>
        <v>0</v>
      </c>
      <c r="AQ28" s="118">
        <f>F28*Navires!$E$6</f>
        <v>14736</v>
      </c>
      <c r="AR28" s="118">
        <f>G28*Navires!$F$6</f>
        <v>8169.6</v>
      </c>
      <c r="AS28" s="118">
        <f>H28*Navires!$G$6</f>
        <v>5440</v>
      </c>
      <c r="AT28" s="118">
        <f>I28*Navires!$H$6</f>
        <v>6800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14992.8</v>
      </c>
      <c r="BE28" s="118" t="s">
        <v>43</v>
      </c>
      <c r="BF28" s="118">
        <f>C28*Navires!$B$6</f>
        <v>9126.4</v>
      </c>
      <c r="BG28" s="118">
        <f>D28*Navires!$B$6</f>
        <v>5704</v>
      </c>
      <c r="BH28" s="118">
        <f>E28*Navires!$B$6</f>
        <v>0</v>
      </c>
      <c r="BI28" s="118">
        <f>F28*Navires!$B$6</f>
        <v>6844.7999999999993</v>
      </c>
      <c r="BJ28" s="118">
        <f>G28*Navires!$B$6</f>
        <v>6844.7999999999993</v>
      </c>
      <c r="BK28" s="118">
        <f>H28*Navires!$B$6</f>
        <v>4563.2</v>
      </c>
      <c r="BL28" s="118">
        <f>I28*Navires!$B$6</f>
        <v>5704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65938.239999999991</v>
      </c>
    </row>
    <row r="29" spans="1:73" x14ac:dyDescent="0.25">
      <c r="A29" t="s">
        <v>56</v>
      </c>
      <c r="B29" s="2" t="s">
        <v>44</v>
      </c>
      <c r="C29" s="2">
        <v>10</v>
      </c>
      <c r="D29" s="2">
        <v>10</v>
      </c>
      <c r="E29" s="2">
        <v>0</v>
      </c>
      <c r="F29" s="2">
        <v>6</v>
      </c>
      <c r="G29" s="2">
        <v>10</v>
      </c>
      <c r="H29" s="2">
        <v>10</v>
      </c>
      <c r="I29" s="2">
        <v>8</v>
      </c>
      <c r="J29" s="2"/>
      <c r="K29" s="2"/>
      <c r="L29" s="2"/>
      <c r="M29" s="2">
        <v>0</v>
      </c>
      <c r="N29" s="2"/>
      <c r="O29" s="2"/>
      <c r="P29" s="2"/>
      <c r="Q29" s="32"/>
      <c r="R29" s="34">
        <f t="shared" si="6"/>
        <v>54</v>
      </c>
      <c r="S29" s="82">
        <f t="shared" si="7"/>
        <v>12.616822429906541</v>
      </c>
      <c r="U29" s="2" t="s">
        <v>44</v>
      </c>
      <c r="V29" s="2">
        <f>C29*Navires!$B$2</f>
        <v>19550</v>
      </c>
      <c r="W29" s="2">
        <f>D29*Navires!$C$2</f>
        <v>19550</v>
      </c>
      <c r="X29" s="2">
        <f>E29*Navires!$D$2</f>
        <v>0</v>
      </c>
      <c r="Y29" s="2">
        <f>F29*Navires!$E$2</f>
        <v>11280</v>
      </c>
      <c r="Z29" s="2">
        <f>G29*Navires!$F$2</f>
        <v>18960</v>
      </c>
      <c r="AA29" s="2">
        <f>H29*Navires!$G$2</f>
        <v>20000</v>
      </c>
      <c r="AB29" s="2">
        <f>I29*Navires!$H$2</f>
        <v>16000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105340</v>
      </c>
      <c r="AM29" s="118" t="s">
        <v>44</v>
      </c>
      <c r="AN29" s="118">
        <f>C29*Navires!$B$6</f>
        <v>5704</v>
      </c>
      <c r="AO29" s="118">
        <f>D29*Navires!$C$6</f>
        <v>5704</v>
      </c>
      <c r="AP29" s="118">
        <f>E29*Navires!$D$6</f>
        <v>0</v>
      </c>
      <c r="AQ29" s="118">
        <f>F29*Navires!$E$6</f>
        <v>7368</v>
      </c>
      <c r="AR29" s="118">
        <f>G29*Navires!$F$6</f>
        <v>6808.0000000000009</v>
      </c>
      <c r="AS29" s="118">
        <f>H29*Navires!$G$6</f>
        <v>6800</v>
      </c>
      <c r="AT29" s="118">
        <f>I29*Navires!$H$6</f>
        <v>5440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11347.199999999999</v>
      </c>
      <c r="BE29" s="118" t="s">
        <v>44</v>
      </c>
      <c r="BF29" s="118">
        <f>C29*Navires!$B$6</f>
        <v>5704</v>
      </c>
      <c r="BG29" s="118">
        <f>D29*Navires!$B$6</f>
        <v>5704</v>
      </c>
      <c r="BH29" s="118">
        <f>E29*Navires!$B$6</f>
        <v>0</v>
      </c>
      <c r="BI29" s="118">
        <f>F29*Navires!$B$6</f>
        <v>3422.3999999999996</v>
      </c>
      <c r="BJ29" s="118">
        <f>G29*Navires!$B$6</f>
        <v>5704</v>
      </c>
      <c r="BK29" s="118">
        <f>H29*Navires!$B$6</f>
        <v>5704</v>
      </c>
      <c r="BL29" s="118">
        <f>I29*Navires!$B$6</f>
        <v>4563.2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52362.720000000001</v>
      </c>
    </row>
    <row r="30" spans="1:73" x14ac:dyDescent="0.25">
      <c r="A30" t="s">
        <v>57</v>
      </c>
      <c r="B30" s="2" t="s">
        <v>45</v>
      </c>
      <c r="C30" s="2">
        <v>1</v>
      </c>
      <c r="D30" s="2">
        <v>18</v>
      </c>
      <c r="E30" s="2">
        <v>17</v>
      </c>
      <c r="F30" s="2">
        <v>0</v>
      </c>
      <c r="G30" s="2">
        <v>1</v>
      </c>
      <c r="H30" s="2">
        <v>1</v>
      </c>
      <c r="I30" s="2">
        <v>1</v>
      </c>
      <c r="J30" s="2"/>
      <c r="K30" s="2"/>
      <c r="L30" s="2"/>
      <c r="M30" s="2">
        <v>0</v>
      </c>
      <c r="N30" s="2"/>
      <c r="O30" s="2"/>
      <c r="P30" s="2"/>
      <c r="Q30" s="32"/>
      <c r="R30" s="34">
        <f t="shared" si="6"/>
        <v>39</v>
      </c>
      <c r="S30" s="82">
        <f t="shared" si="7"/>
        <v>8.8036117381489856</v>
      </c>
      <c r="U30" s="2" t="s">
        <v>45</v>
      </c>
      <c r="V30" s="2">
        <f>C30*Navires!$B$2</f>
        <v>1955</v>
      </c>
      <c r="W30" s="2">
        <f>D30*Navires!$C$2</f>
        <v>35190</v>
      </c>
      <c r="X30" s="2">
        <f>E30*Navires!$D$2</f>
        <v>35802</v>
      </c>
      <c r="Y30" s="2">
        <f>F30*Navires!$E$2</f>
        <v>0</v>
      </c>
      <c r="Z30" s="2">
        <f>G30*Navires!$F$2</f>
        <v>1896</v>
      </c>
      <c r="AA30" s="2">
        <f>H30*Navires!$G$2</f>
        <v>2000</v>
      </c>
      <c r="AB30" s="2">
        <f>I30*Navires!$H$2</f>
        <v>2000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78843</v>
      </c>
      <c r="AM30" s="118" t="s">
        <v>45</v>
      </c>
      <c r="AN30" s="118">
        <f>C30*Navires!$B$6</f>
        <v>570.4</v>
      </c>
      <c r="AO30" s="118">
        <f>D30*Navires!$C$6</f>
        <v>10267.199999999999</v>
      </c>
      <c r="AP30" s="118">
        <f>E30*Navires!$D$6</f>
        <v>13600</v>
      </c>
      <c r="AQ30" s="118">
        <f>F30*Navires!$E$6</f>
        <v>0</v>
      </c>
      <c r="AR30" s="118">
        <f>G30*Navires!$F$6</f>
        <v>680.80000000000007</v>
      </c>
      <c r="AS30" s="118">
        <f>H30*Navires!$G$6</f>
        <v>680</v>
      </c>
      <c r="AT30" s="118">
        <f>I30*Navires!$H$6</f>
        <v>680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13239.199999999999</v>
      </c>
      <c r="BE30" s="118" t="s">
        <v>45</v>
      </c>
      <c r="BF30" s="118">
        <f>C30*Navires!$B$6</f>
        <v>570.4</v>
      </c>
      <c r="BG30" s="118">
        <f>D30*Navires!$B$6</f>
        <v>10267.199999999999</v>
      </c>
      <c r="BH30" s="118">
        <f>E30*Navires!$B$6</f>
        <v>9696.7999999999993</v>
      </c>
      <c r="BI30" s="118">
        <f>F30*Navires!$B$6</f>
        <v>0</v>
      </c>
      <c r="BJ30" s="118">
        <f>G30*Navires!$B$6</f>
        <v>570.4</v>
      </c>
      <c r="BK30" s="118">
        <f>H30*Navires!$B$6</f>
        <v>570.4</v>
      </c>
      <c r="BL30" s="118">
        <f>I30*Navires!$B$6</f>
        <v>570.4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37817.520000000004</v>
      </c>
    </row>
    <row r="31" spans="1:73" x14ac:dyDescent="0.25">
      <c r="A31" t="s">
        <v>58</v>
      </c>
      <c r="B31" s="2" t="s">
        <v>46</v>
      </c>
      <c r="C31" s="2">
        <v>12</v>
      </c>
      <c r="D31" s="2">
        <v>0</v>
      </c>
      <c r="E31" s="2">
        <v>3</v>
      </c>
      <c r="F31" s="2">
        <v>1</v>
      </c>
      <c r="G31" s="2">
        <v>2</v>
      </c>
      <c r="H31" s="2">
        <v>15</v>
      </c>
      <c r="I31" s="2">
        <v>0</v>
      </c>
      <c r="J31" s="2"/>
      <c r="K31" s="2"/>
      <c r="L31" s="2"/>
      <c r="M31" s="2">
        <v>0</v>
      </c>
      <c r="N31" s="2"/>
      <c r="O31" s="2"/>
      <c r="P31" s="2"/>
      <c r="Q31" s="32"/>
      <c r="R31" s="34">
        <f t="shared" si="6"/>
        <v>33</v>
      </c>
      <c r="S31" s="82">
        <f t="shared" si="7"/>
        <v>7.7102803738317753</v>
      </c>
      <c r="U31" s="2" t="s">
        <v>46</v>
      </c>
      <c r="V31" s="2">
        <f>C31*Navires!$B$2</f>
        <v>23460</v>
      </c>
      <c r="W31" s="2">
        <f>D31*Navires!$C$2</f>
        <v>0</v>
      </c>
      <c r="X31" s="2">
        <f>E31*Navires!$D$2</f>
        <v>6318</v>
      </c>
      <c r="Y31" s="2">
        <f>F31*Navires!$E$2</f>
        <v>1880</v>
      </c>
      <c r="Z31" s="2">
        <f>G31*Navires!$F$2</f>
        <v>3792</v>
      </c>
      <c r="AA31" s="2">
        <f>H31*Navires!$G$2</f>
        <v>30000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65450</v>
      </c>
      <c r="AM31" s="118" t="s">
        <v>46</v>
      </c>
      <c r="AN31" s="118">
        <f>C31*Navires!$B$6</f>
        <v>6844.7999999999993</v>
      </c>
      <c r="AO31" s="118">
        <f>D31*Navires!$C$6</f>
        <v>0</v>
      </c>
      <c r="AP31" s="118">
        <f>E31*Navires!$D$6</f>
        <v>2400</v>
      </c>
      <c r="AQ31" s="118">
        <f>F31*Navires!$E$6</f>
        <v>1228</v>
      </c>
      <c r="AR31" s="118">
        <f>G31*Navires!$F$6</f>
        <v>1361.6000000000001</v>
      </c>
      <c r="AS31" s="118">
        <f>H31*Navires!$G$6</f>
        <v>10200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11017.2</v>
      </c>
      <c r="BE31" s="118" t="s">
        <v>46</v>
      </c>
      <c r="BF31" s="118">
        <f>C31*Navires!$B$6</f>
        <v>6844.7999999999993</v>
      </c>
      <c r="BG31" s="118">
        <f>D31*Navires!$B$6</f>
        <v>0</v>
      </c>
      <c r="BH31" s="118">
        <f>E31*Navires!$B$6</f>
        <v>1711.1999999999998</v>
      </c>
      <c r="BI31" s="118">
        <f>F31*Navires!$B$6</f>
        <v>570.4</v>
      </c>
      <c r="BJ31" s="118">
        <f>G31*Navires!$B$6</f>
        <v>1140.8</v>
      </c>
      <c r="BK31" s="118">
        <f>H31*Navires!$B$6</f>
        <v>8556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13176.239999999998</v>
      </c>
    </row>
    <row r="32" spans="1:73" x14ac:dyDescent="0.25">
      <c r="A32" t="s">
        <v>59</v>
      </c>
      <c r="B32" s="2" t="s">
        <v>47</v>
      </c>
      <c r="C32" s="2">
        <v>3</v>
      </c>
      <c r="D32" s="2">
        <v>0</v>
      </c>
      <c r="E32" s="2">
        <v>11</v>
      </c>
      <c r="F32" s="2">
        <v>9</v>
      </c>
      <c r="G32" s="2">
        <v>2</v>
      </c>
      <c r="H32" s="2">
        <v>6</v>
      </c>
      <c r="I32" s="2">
        <v>1</v>
      </c>
      <c r="J32" s="2"/>
      <c r="K32" s="2"/>
      <c r="L32" s="2"/>
      <c r="M32" s="2">
        <v>1</v>
      </c>
      <c r="N32" s="2"/>
      <c r="O32" s="2"/>
      <c r="P32" s="2"/>
      <c r="Q32" s="32"/>
      <c r="R32" s="34">
        <f t="shared" si="6"/>
        <v>33</v>
      </c>
      <c r="S32" s="82">
        <f t="shared" si="7"/>
        <v>7.4492099322799099</v>
      </c>
      <c r="U32" s="2" t="s">
        <v>47</v>
      </c>
      <c r="V32" s="2">
        <f>C32*Navires!$B$2</f>
        <v>5865</v>
      </c>
      <c r="W32" s="2">
        <f>D32*Navires!$C$2</f>
        <v>0</v>
      </c>
      <c r="X32" s="2">
        <f>E32*Navires!$D$2</f>
        <v>23166</v>
      </c>
      <c r="Y32" s="2">
        <f>F32*Navires!$E$2</f>
        <v>16920</v>
      </c>
      <c r="Z32" s="2">
        <f>G32*Navires!$F$2</f>
        <v>3792</v>
      </c>
      <c r="AA32" s="2">
        <f>H32*Navires!$G$2</f>
        <v>12000</v>
      </c>
      <c r="AB32" s="2">
        <f>I32*Navires!$H$2</f>
        <v>2000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1790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65533</v>
      </c>
      <c r="AM32" s="118" t="s">
        <v>47</v>
      </c>
      <c r="AN32" s="118">
        <f>C32*Navires!$B$6</f>
        <v>1711.1999999999998</v>
      </c>
      <c r="AO32" s="118">
        <f>D32*Navires!$C$6</f>
        <v>0</v>
      </c>
      <c r="AP32" s="118">
        <f>E32*Navires!$D$6</f>
        <v>8800</v>
      </c>
      <c r="AQ32" s="118">
        <f>F32*Navires!$E$6</f>
        <v>11052</v>
      </c>
      <c r="AR32" s="118">
        <f>G32*Navires!$F$6</f>
        <v>1361.6000000000001</v>
      </c>
      <c r="AS32" s="118">
        <f>H32*Navires!$G$6</f>
        <v>4080</v>
      </c>
      <c r="AT32" s="118">
        <f>I32*Navires!$H$6</f>
        <v>680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680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14182.4</v>
      </c>
      <c r="BE32" s="118" t="s">
        <v>47</v>
      </c>
      <c r="BF32" s="118">
        <f>C32*Navires!$B$6</f>
        <v>1711.1999999999998</v>
      </c>
      <c r="BG32" s="118">
        <f>D32*Navires!$B$6</f>
        <v>0</v>
      </c>
      <c r="BH32" s="118">
        <f>E32*Navires!$B$6</f>
        <v>6274.4</v>
      </c>
      <c r="BI32" s="118">
        <f>F32*Navires!$B$6</f>
        <v>5133.5999999999995</v>
      </c>
      <c r="BJ32" s="118">
        <f>G32*Navires!$B$6</f>
        <v>1140.8</v>
      </c>
      <c r="BK32" s="118">
        <f>H32*Navires!$B$6</f>
        <v>3422.3999999999996</v>
      </c>
      <c r="BL32" s="118">
        <f>I32*Navires!$B$6</f>
        <v>570.4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570.4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13176.24</v>
      </c>
    </row>
    <row r="33" spans="1:73" x14ac:dyDescent="0.25">
      <c r="A33" s="30"/>
      <c r="B33" s="34" t="s">
        <v>60</v>
      </c>
      <c r="C33" s="34">
        <f>SUM(C21:C32)</f>
        <v>77</v>
      </c>
      <c r="D33" s="34">
        <f t="shared" ref="D33:E33" si="8">SUM(D21:D32)</f>
        <v>87</v>
      </c>
      <c r="E33" s="34">
        <f t="shared" si="8"/>
        <v>125</v>
      </c>
      <c r="F33" s="34">
        <f>SUM(F21:F32)</f>
        <v>63</v>
      </c>
      <c r="G33" s="34">
        <f>SUM(G21:G32)</f>
        <v>66</v>
      </c>
      <c r="H33" s="34">
        <f t="shared" ref="H33:Q33" si="9">SUM(H21:H32)</f>
        <v>80</v>
      </c>
      <c r="I33" s="34">
        <f t="shared" si="9"/>
        <v>33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1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532</v>
      </c>
      <c r="S33" s="82">
        <f t="shared" si="7"/>
        <v>10.205256090542873</v>
      </c>
      <c r="U33" s="34" t="s">
        <v>60</v>
      </c>
      <c r="V33" s="34">
        <f>SUM(V21:V32)</f>
        <v>150535</v>
      </c>
      <c r="W33" s="34">
        <f t="shared" ref="W33:AJ33" si="10">SUM(W21:W32)</f>
        <v>170085</v>
      </c>
      <c r="X33" s="34">
        <f t="shared" si="10"/>
        <v>263250</v>
      </c>
      <c r="Y33" s="34">
        <f t="shared" si="10"/>
        <v>118440</v>
      </c>
      <c r="Z33" s="34">
        <f t="shared" si="10"/>
        <v>125136</v>
      </c>
      <c r="AA33" s="34">
        <f t="shared" si="10"/>
        <v>160000</v>
      </c>
      <c r="AB33" s="34">
        <f t="shared" si="10"/>
        <v>66000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1790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43920.800000000003</v>
      </c>
      <c r="AO33" s="34">
        <f t="shared" ref="AO33:BB33" si="11">SUM(AO21:AO32)</f>
        <v>49624.799999999996</v>
      </c>
      <c r="AP33" s="34">
        <f t="shared" si="11"/>
        <v>100000</v>
      </c>
      <c r="AQ33" s="34">
        <f t="shared" si="11"/>
        <v>77364</v>
      </c>
      <c r="AR33" s="34">
        <f t="shared" si="11"/>
        <v>44932.800000000003</v>
      </c>
      <c r="AS33" s="34">
        <f t="shared" si="11"/>
        <v>54400</v>
      </c>
      <c r="AT33" s="34">
        <f t="shared" si="11"/>
        <v>22440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680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43920.799999999996</v>
      </c>
      <c r="BG33" s="118">
        <f>D33*Navires!$B$6</f>
        <v>49624.799999999996</v>
      </c>
      <c r="BH33" s="118">
        <f>E33*Navires!$B$6</f>
        <v>71300</v>
      </c>
      <c r="BI33" s="118">
        <f>F33*Navires!$B$6</f>
        <v>35935.199999999997</v>
      </c>
      <c r="BJ33" s="118">
        <f>G33*Navires!$B$6</f>
        <v>37646.400000000001</v>
      </c>
      <c r="BK33" s="118">
        <f>H33*Navires!$B$6</f>
        <v>45632</v>
      </c>
      <c r="BL33" s="118">
        <f>I33*Navires!$B$6</f>
        <v>18823.2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570.4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F19" workbookViewId="0">
      <selection activeCell="BU20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3</v>
      </c>
      <c r="D4" s="2">
        <v>11</v>
      </c>
      <c r="E4" s="2">
        <v>0</v>
      </c>
      <c r="F4" s="2">
        <v>3</v>
      </c>
      <c r="G4" s="2">
        <v>10</v>
      </c>
      <c r="H4" s="2">
        <v>7</v>
      </c>
      <c r="I4" s="2">
        <v>0</v>
      </c>
      <c r="J4" s="2"/>
      <c r="K4" s="2"/>
      <c r="L4" s="2">
        <v>0</v>
      </c>
      <c r="M4" s="2"/>
      <c r="N4" s="2"/>
      <c r="O4" s="2"/>
      <c r="P4" s="2"/>
      <c r="Q4" s="32"/>
      <c r="R4" s="34">
        <f>SUM(C4:Q4)</f>
        <v>34</v>
      </c>
      <c r="S4" s="82">
        <f>R4/R36</f>
        <v>7.6749435665914225</v>
      </c>
      <c r="U4" s="2" t="s">
        <v>36</v>
      </c>
      <c r="V4" s="2">
        <f>C4*Navires!$B$2</f>
        <v>5865</v>
      </c>
      <c r="W4" s="2">
        <f>D4*Navires!$C$2</f>
        <v>21505</v>
      </c>
      <c r="X4" s="2">
        <f>E4*Navires!$D$2</f>
        <v>0</v>
      </c>
      <c r="Y4" s="2">
        <f>F4*Navires!$E$2</f>
        <v>5640</v>
      </c>
      <c r="Z4" s="2">
        <f>G4*Navires!$F$2</f>
        <v>18960</v>
      </c>
      <c r="AA4" s="2">
        <f>H4*Navires!$G$2</f>
        <v>14000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65970</v>
      </c>
      <c r="AM4" s="118" t="s">
        <v>36</v>
      </c>
      <c r="AN4" s="118">
        <f>C4*Navires!$B$6</f>
        <v>1711.1999999999998</v>
      </c>
      <c r="AO4" s="118">
        <f>D4*Navires!$C$6</f>
        <v>6274.4</v>
      </c>
      <c r="AP4" s="118">
        <f>E4*Navires!$D$6</f>
        <v>0</v>
      </c>
      <c r="AQ4" s="118">
        <f>F4*Navires!$E$6</f>
        <v>3684</v>
      </c>
      <c r="AR4" s="118">
        <f>G4*Navires!$F$6</f>
        <v>6808.0000000000009</v>
      </c>
      <c r="AS4" s="118">
        <f>H4*Navires!$G$6</f>
        <v>4760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11618.8</v>
      </c>
      <c r="BE4" s="118" t="s">
        <v>36</v>
      </c>
      <c r="BF4" s="118">
        <f>C4*Navires!$B$6</f>
        <v>1711.1999999999998</v>
      </c>
      <c r="BG4" s="118">
        <f>D4*Navires!$B$6</f>
        <v>6274.4</v>
      </c>
      <c r="BH4" s="118">
        <f>E4*Navires!$B$6</f>
        <v>0</v>
      </c>
      <c r="BI4" s="118">
        <f>F4*Navires!$B$6</f>
        <v>1711.1999999999998</v>
      </c>
      <c r="BJ4" s="118">
        <f>G4*Navires!$B$6</f>
        <v>5704</v>
      </c>
      <c r="BK4" s="118">
        <f>H4*Navires!$B$6</f>
        <v>3992.7999999999997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13575.519999999999</v>
      </c>
    </row>
    <row r="5" spans="1:73" x14ac:dyDescent="0.25">
      <c r="A5" t="s">
        <v>49</v>
      </c>
      <c r="B5" s="2" t="s">
        <v>37</v>
      </c>
      <c r="C5" s="2">
        <v>8</v>
      </c>
      <c r="D5" s="2">
        <v>0</v>
      </c>
      <c r="E5">
        <v>2</v>
      </c>
      <c r="F5" s="2">
        <v>4</v>
      </c>
      <c r="G5" s="2">
        <v>11</v>
      </c>
      <c r="H5" s="2">
        <v>7</v>
      </c>
      <c r="I5" s="2">
        <v>0</v>
      </c>
      <c r="J5" s="2"/>
      <c r="K5" s="2"/>
      <c r="L5" s="2">
        <v>0</v>
      </c>
      <c r="M5" s="2"/>
      <c r="N5" s="2"/>
      <c r="O5" s="2"/>
      <c r="P5" s="2"/>
      <c r="Q5" s="32"/>
      <c r="R5" s="34">
        <f t="shared" ref="R5:R16" si="0">SUM(C5:Q5)</f>
        <v>32</v>
      </c>
      <c r="S5" s="82">
        <f t="shared" ref="S5:S16" si="1">R5/R37</f>
        <v>8</v>
      </c>
      <c r="U5" s="2" t="s">
        <v>37</v>
      </c>
      <c r="V5" s="2">
        <f>C5*Navires!$B$2</f>
        <v>15640</v>
      </c>
      <c r="W5" s="2">
        <f>D5*Navires!$C$2</f>
        <v>0</v>
      </c>
      <c r="X5" s="2">
        <f>E5*Navires!$D$2</f>
        <v>4212</v>
      </c>
      <c r="Y5" s="2">
        <f>F5*Navires!$E$2</f>
        <v>7520</v>
      </c>
      <c r="Z5" s="2">
        <f>G5*Navires!$F$2</f>
        <v>20856</v>
      </c>
      <c r="AA5" s="2">
        <f>H5*Navires!$G$2</f>
        <v>14000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62228</v>
      </c>
      <c r="AM5" s="118" t="s">
        <v>37</v>
      </c>
      <c r="AN5" s="118">
        <f>C5*Navires!$B$6</f>
        <v>4563.2</v>
      </c>
      <c r="AO5" s="118">
        <f>D5*Navires!$C$6</f>
        <v>0</v>
      </c>
      <c r="AP5" s="118">
        <f>E5*Navires!$D$6</f>
        <v>1600</v>
      </c>
      <c r="AQ5" s="118">
        <f>F5*Navires!$E$6</f>
        <v>4912</v>
      </c>
      <c r="AR5" s="118">
        <f>G5*Navires!$F$6</f>
        <v>7488.8000000000011</v>
      </c>
      <c r="AS5" s="118">
        <f>H5*Navires!$G$6</f>
        <v>4760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11662</v>
      </c>
      <c r="BE5" s="118" t="s">
        <v>37</v>
      </c>
      <c r="BF5" s="118">
        <f>C5*Navires!$B$6</f>
        <v>4563.2</v>
      </c>
      <c r="BG5" s="118">
        <f>D5*Navires!$B$6</f>
        <v>0</v>
      </c>
      <c r="BH5" s="118">
        <f>E5*Navires!$B$6</f>
        <v>1140.8</v>
      </c>
      <c r="BI5" s="118">
        <f>F5*Navires!$B$6</f>
        <v>2281.6</v>
      </c>
      <c r="BJ5" s="118">
        <f>G5*Navires!$B$6</f>
        <v>6274.4</v>
      </c>
      <c r="BK5" s="118">
        <f>H5*Navires!$B$6</f>
        <v>3992.7999999999997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12776.96</v>
      </c>
    </row>
    <row r="6" spans="1:73" x14ac:dyDescent="0.25">
      <c r="A6" t="s">
        <v>50</v>
      </c>
      <c r="B6" s="2" t="s">
        <v>38</v>
      </c>
      <c r="C6" s="2">
        <v>5</v>
      </c>
      <c r="D6" s="2">
        <v>11</v>
      </c>
      <c r="E6" s="2">
        <v>1</v>
      </c>
      <c r="F6" s="2">
        <v>11</v>
      </c>
      <c r="G6" s="2">
        <v>2</v>
      </c>
      <c r="H6" s="2">
        <v>1</v>
      </c>
      <c r="I6" s="2">
        <v>1</v>
      </c>
      <c r="J6" s="2"/>
      <c r="K6" s="2"/>
      <c r="L6" s="2">
        <v>0</v>
      </c>
      <c r="M6" s="2"/>
      <c r="N6" s="2"/>
      <c r="O6" s="2"/>
      <c r="P6" s="2"/>
      <c r="Q6" s="32"/>
      <c r="R6" s="34">
        <f t="shared" si="0"/>
        <v>32</v>
      </c>
      <c r="S6" s="82">
        <f t="shared" si="1"/>
        <v>7.2234762979683982</v>
      </c>
      <c r="U6" s="2" t="s">
        <v>38</v>
      </c>
      <c r="V6" s="2">
        <f>C6*Navires!$B$2</f>
        <v>9775</v>
      </c>
      <c r="W6" s="2">
        <f>D6*Navires!$C$2</f>
        <v>21505</v>
      </c>
      <c r="X6" s="2">
        <f>E6*Navires!$D$2</f>
        <v>2106</v>
      </c>
      <c r="Y6" s="2">
        <f>F6*Navires!$E$2</f>
        <v>20680</v>
      </c>
      <c r="Z6" s="2">
        <f>G6*Navires!$F$2</f>
        <v>3792</v>
      </c>
      <c r="AA6" s="2">
        <f>H6*Navires!$G$2</f>
        <v>2000</v>
      </c>
      <c r="AB6" s="2">
        <f>I6*Navires!$H$2</f>
        <v>2000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61858</v>
      </c>
      <c r="AM6" s="118" t="s">
        <v>38</v>
      </c>
      <c r="AN6" s="118">
        <f>C6*Navires!$B$6</f>
        <v>2852</v>
      </c>
      <c r="AO6" s="118">
        <f>D6*Navires!$C$6</f>
        <v>6274.4</v>
      </c>
      <c r="AP6" s="118">
        <f>E6*Navires!$D$6</f>
        <v>800</v>
      </c>
      <c r="AQ6" s="118">
        <f>F6*Navires!$E$6</f>
        <v>13508</v>
      </c>
      <c r="AR6" s="118">
        <f>G6*Navires!$F$6</f>
        <v>1361.6000000000001</v>
      </c>
      <c r="AS6" s="118">
        <f>H6*Navires!$G$6</f>
        <v>680</v>
      </c>
      <c r="AT6" s="118">
        <f>I6*Navires!$H$6</f>
        <v>680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13078</v>
      </c>
      <c r="BE6" s="118" t="s">
        <v>38</v>
      </c>
      <c r="BF6" s="118">
        <f>C6*Navires!$B$6</f>
        <v>2852</v>
      </c>
      <c r="BG6" s="118">
        <f>D6*Navires!$B$6</f>
        <v>6274.4</v>
      </c>
      <c r="BH6" s="118">
        <f>E6*Navires!$B$6</f>
        <v>570.4</v>
      </c>
      <c r="BI6" s="118">
        <f>F6*Navires!$B$6</f>
        <v>6274.4</v>
      </c>
      <c r="BJ6" s="118">
        <f>G6*Navires!$B$6</f>
        <v>1140.8</v>
      </c>
      <c r="BK6" s="118">
        <f>H6*Navires!$B$6</f>
        <v>570.4</v>
      </c>
      <c r="BL6" s="118">
        <f>I6*Navires!$B$6</f>
        <v>570.4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12776.960000000001</v>
      </c>
    </row>
    <row r="7" spans="1:73" x14ac:dyDescent="0.25">
      <c r="A7" t="s">
        <v>51</v>
      </c>
      <c r="B7" s="2" t="s">
        <v>39</v>
      </c>
      <c r="C7" s="2">
        <v>13</v>
      </c>
      <c r="D7" s="2">
        <v>2</v>
      </c>
      <c r="E7" s="2">
        <v>0</v>
      </c>
      <c r="F7" s="2">
        <v>9</v>
      </c>
      <c r="G7" s="2">
        <v>0</v>
      </c>
      <c r="H7" s="2">
        <v>2</v>
      </c>
      <c r="I7" s="2">
        <v>6</v>
      </c>
      <c r="J7" s="2"/>
      <c r="K7" s="2"/>
      <c r="L7" s="2">
        <v>0</v>
      </c>
      <c r="M7" s="2"/>
      <c r="N7" s="2"/>
      <c r="O7" s="2"/>
      <c r="P7" s="2"/>
      <c r="Q7" s="32"/>
      <c r="R7" s="34">
        <f t="shared" si="0"/>
        <v>32</v>
      </c>
      <c r="S7" s="82">
        <f t="shared" si="1"/>
        <v>7.4766355140186915</v>
      </c>
      <c r="U7" s="2" t="s">
        <v>39</v>
      </c>
      <c r="V7" s="2">
        <f>C7*Navires!$B$2</f>
        <v>25415</v>
      </c>
      <c r="W7" s="2">
        <f>D7*Navires!$C$2</f>
        <v>3910</v>
      </c>
      <c r="X7" s="2">
        <f>E7*Navires!$D$2</f>
        <v>0</v>
      </c>
      <c r="Y7" s="2">
        <f>F7*Navires!$E$2</f>
        <v>16920</v>
      </c>
      <c r="Z7" s="2">
        <f>G7*Navires!$F$2</f>
        <v>0</v>
      </c>
      <c r="AA7" s="2">
        <f>H7*Navires!$G$2</f>
        <v>4000</v>
      </c>
      <c r="AB7" s="2">
        <f>I7*Navires!$H$2</f>
        <v>12000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62245</v>
      </c>
      <c r="AM7" s="118" t="s">
        <v>39</v>
      </c>
      <c r="AN7" s="118">
        <f>C7*Navires!$B$6</f>
        <v>7415.2</v>
      </c>
      <c r="AO7" s="118">
        <f>D7*Navires!$C$6</f>
        <v>1140.8</v>
      </c>
      <c r="AP7" s="118">
        <f>E7*Navires!$D$6</f>
        <v>0</v>
      </c>
      <c r="AQ7" s="118">
        <f>F7*Navires!$E$6</f>
        <v>11052</v>
      </c>
      <c r="AR7" s="118">
        <f>G7*Navires!$F$6</f>
        <v>0</v>
      </c>
      <c r="AS7" s="118">
        <f>H7*Navires!$G$6</f>
        <v>1360</v>
      </c>
      <c r="AT7" s="118">
        <f>I7*Navires!$H$6</f>
        <v>4080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12524</v>
      </c>
      <c r="BE7" s="118" t="s">
        <v>39</v>
      </c>
      <c r="BF7" s="118">
        <f>C7*Navires!$B$6</f>
        <v>7415.2</v>
      </c>
      <c r="BG7" s="118">
        <f>D7*Navires!$B$6</f>
        <v>1140.8</v>
      </c>
      <c r="BH7" s="118">
        <f>E7*Navires!$B$6</f>
        <v>0</v>
      </c>
      <c r="BI7" s="118">
        <f>F7*Navires!$B$6</f>
        <v>5133.5999999999995</v>
      </c>
      <c r="BJ7" s="118">
        <f>G7*Navires!$B$6</f>
        <v>0</v>
      </c>
      <c r="BK7" s="118">
        <f>H7*Navires!$B$6</f>
        <v>1140.8</v>
      </c>
      <c r="BL7" s="118">
        <f>I7*Navires!$B$6</f>
        <v>3422.3999999999996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31029.759999999991</v>
      </c>
    </row>
    <row r="8" spans="1:73" x14ac:dyDescent="0.25">
      <c r="A8" t="s">
        <v>52</v>
      </c>
      <c r="B8" s="2" t="s">
        <v>40</v>
      </c>
      <c r="C8" s="2">
        <v>6</v>
      </c>
      <c r="D8" s="2">
        <v>5</v>
      </c>
      <c r="E8" s="2">
        <v>0</v>
      </c>
      <c r="F8" s="2">
        <v>7</v>
      </c>
      <c r="G8" s="2">
        <v>1</v>
      </c>
      <c r="H8" s="2">
        <v>6</v>
      </c>
      <c r="I8" s="2">
        <v>10</v>
      </c>
      <c r="J8" s="2"/>
      <c r="K8" s="2"/>
      <c r="L8" s="2">
        <v>0</v>
      </c>
      <c r="M8" s="2"/>
      <c r="N8" s="2"/>
      <c r="O8" s="2"/>
      <c r="P8" s="2"/>
      <c r="Q8" s="32"/>
      <c r="R8" s="34">
        <f t="shared" si="0"/>
        <v>35</v>
      </c>
      <c r="S8" s="82">
        <f t="shared" si="1"/>
        <v>7.9006772009029351</v>
      </c>
      <c r="U8" s="2" t="s">
        <v>40</v>
      </c>
      <c r="V8" s="2">
        <f>C8*Navires!$B$2</f>
        <v>11730</v>
      </c>
      <c r="W8" s="2">
        <f>D8*Navires!$C$2</f>
        <v>9775</v>
      </c>
      <c r="X8" s="2">
        <f>E8*Navires!$D$2</f>
        <v>0</v>
      </c>
      <c r="Y8" s="2">
        <f>F8*Navires!$E$2</f>
        <v>13160</v>
      </c>
      <c r="Z8" s="2">
        <f>G8*Navires!$F$2</f>
        <v>1896</v>
      </c>
      <c r="AA8" s="2">
        <f>H8*Navires!$G$2</f>
        <v>12000</v>
      </c>
      <c r="AB8" s="2">
        <f>I8*Navires!$H$2</f>
        <v>20000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68561</v>
      </c>
      <c r="AM8" s="118" t="s">
        <v>40</v>
      </c>
      <c r="AN8" s="118">
        <f>C8*Navires!$B$6</f>
        <v>3422.3999999999996</v>
      </c>
      <c r="AO8" s="118">
        <f>D8*Navires!$C$6</f>
        <v>2852</v>
      </c>
      <c r="AP8" s="118">
        <f>E8*Navires!$D$6</f>
        <v>0</v>
      </c>
      <c r="AQ8" s="118">
        <f>F8*Navires!$E$6</f>
        <v>8596</v>
      </c>
      <c r="AR8" s="118">
        <f>G8*Navires!$F$6</f>
        <v>680.80000000000007</v>
      </c>
      <c r="AS8" s="118">
        <f>H8*Navires!$G$6</f>
        <v>4080</v>
      </c>
      <c r="AT8" s="118">
        <f>I8*Navires!$H$6</f>
        <v>6800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7929.3599999999988</v>
      </c>
      <c r="BE8" s="118" t="s">
        <v>40</v>
      </c>
      <c r="BF8" s="118">
        <f>C8*Navires!$B$6</f>
        <v>3422.3999999999996</v>
      </c>
      <c r="BG8" s="118">
        <f>D8*Navires!$B$6</f>
        <v>2852</v>
      </c>
      <c r="BH8" s="118">
        <f>E8*Navires!$B$6</f>
        <v>0</v>
      </c>
      <c r="BI8" s="118">
        <f>F8*Navires!$B$6</f>
        <v>3992.7999999999997</v>
      </c>
      <c r="BJ8" s="118">
        <f>G8*Navires!$B$6</f>
        <v>570.4</v>
      </c>
      <c r="BK8" s="118">
        <f>H8*Navires!$B$6</f>
        <v>3422.3999999999996</v>
      </c>
      <c r="BL8" s="118">
        <f>I8*Navires!$B$6</f>
        <v>5704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33938.799999999996</v>
      </c>
    </row>
    <row r="9" spans="1:73" x14ac:dyDescent="0.25">
      <c r="A9" t="s">
        <v>53</v>
      </c>
      <c r="B9" s="2" t="s">
        <v>41</v>
      </c>
      <c r="C9" s="2">
        <v>10</v>
      </c>
      <c r="D9" s="2">
        <v>5</v>
      </c>
      <c r="E9" s="2">
        <v>0</v>
      </c>
      <c r="F9" s="2">
        <v>6</v>
      </c>
      <c r="G9" s="2">
        <v>3</v>
      </c>
      <c r="H9" s="2">
        <v>5</v>
      </c>
      <c r="I9" s="2">
        <v>8</v>
      </c>
      <c r="J9" s="2"/>
      <c r="K9" s="2"/>
      <c r="L9" s="2">
        <v>0</v>
      </c>
      <c r="M9" s="2"/>
      <c r="N9" s="2"/>
      <c r="O9" s="2"/>
      <c r="P9" s="2"/>
      <c r="Q9" s="32"/>
      <c r="R9" s="34">
        <f t="shared" si="0"/>
        <v>37</v>
      </c>
      <c r="S9" s="82">
        <f t="shared" si="1"/>
        <v>8.6448598130841123</v>
      </c>
      <c r="U9" s="2" t="s">
        <v>41</v>
      </c>
      <c r="V9" s="2">
        <f>C9*Navires!$B$2</f>
        <v>19550</v>
      </c>
      <c r="W9" s="2">
        <f>D9*Navires!$C$2</f>
        <v>9775</v>
      </c>
      <c r="X9" s="2">
        <f>E9*Navires!$D$2</f>
        <v>0</v>
      </c>
      <c r="Y9" s="2">
        <f>F9*Navires!$E$2</f>
        <v>11280</v>
      </c>
      <c r="Z9" s="2">
        <f>G9*Navires!$F$2</f>
        <v>5688</v>
      </c>
      <c r="AA9" s="2">
        <f>H9*Navires!$G$2</f>
        <v>10000</v>
      </c>
      <c r="AB9" s="2">
        <f>I9*Navires!$H$2</f>
        <v>16000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72293</v>
      </c>
      <c r="AM9" s="118" t="s">
        <v>41</v>
      </c>
      <c r="AN9" s="118">
        <f>C9*Navires!$B$6</f>
        <v>5704</v>
      </c>
      <c r="AO9" s="118">
        <f>D9*Navires!$C$6</f>
        <v>2852</v>
      </c>
      <c r="AP9" s="118">
        <f>E9*Navires!$D$6</f>
        <v>0</v>
      </c>
      <c r="AQ9" s="118">
        <f>F9*Navires!$E$6</f>
        <v>7368</v>
      </c>
      <c r="AR9" s="118">
        <f>G9*Navires!$F$6</f>
        <v>2042.4</v>
      </c>
      <c r="AS9" s="118">
        <f>H9*Navires!$G$6</f>
        <v>3400</v>
      </c>
      <c r="AT9" s="118">
        <f>I9*Navires!$H$6</f>
        <v>5440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8041.92</v>
      </c>
      <c r="BE9" s="118" t="s">
        <v>41</v>
      </c>
      <c r="BF9" s="118">
        <f>C9*Navires!$B$6</f>
        <v>5704</v>
      </c>
      <c r="BG9" s="118">
        <f>D9*Navires!$B$6</f>
        <v>2852</v>
      </c>
      <c r="BH9" s="118">
        <f>E9*Navires!$B$6</f>
        <v>0</v>
      </c>
      <c r="BI9" s="118">
        <f>F9*Navires!$B$6</f>
        <v>3422.3999999999996</v>
      </c>
      <c r="BJ9" s="118">
        <f>G9*Navires!$B$6</f>
        <v>1711.1999999999998</v>
      </c>
      <c r="BK9" s="118">
        <f>H9*Navires!$B$6</f>
        <v>2852</v>
      </c>
      <c r="BL9" s="118">
        <f>I9*Navires!$B$6</f>
        <v>4563.2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35878.159999999996</v>
      </c>
    </row>
    <row r="10" spans="1:73" x14ac:dyDescent="0.25">
      <c r="A10" t="s">
        <v>54</v>
      </c>
      <c r="B10" s="2" t="s">
        <v>42</v>
      </c>
      <c r="C10" s="2">
        <v>5</v>
      </c>
      <c r="D10" s="2">
        <v>6</v>
      </c>
      <c r="E10" s="2">
        <v>0</v>
      </c>
      <c r="F10" s="2">
        <v>8</v>
      </c>
      <c r="G10" s="2">
        <v>6</v>
      </c>
      <c r="H10" s="2">
        <v>4</v>
      </c>
      <c r="I10" s="2">
        <v>3</v>
      </c>
      <c r="J10" s="2"/>
      <c r="K10" s="2"/>
      <c r="L10" s="2">
        <v>1</v>
      </c>
      <c r="M10" s="2"/>
      <c r="N10" s="2"/>
      <c r="O10" s="2"/>
      <c r="P10" s="2"/>
      <c r="Q10" s="32"/>
      <c r="R10" s="34">
        <f t="shared" si="0"/>
        <v>33</v>
      </c>
      <c r="S10" s="82">
        <f t="shared" si="1"/>
        <v>7.4492099322799099</v>
      </c>
      <c r="U10" s="2" t="s">
        <v>42</v>
      </c>
      <c r="V10" s="2">
        <f>C10*Navires!$B$2</f>
        <v>9775</v>
      </c>
      <c r="W10" s="2">
        <f>D10*Navires!$C$2</f>
        <v>11730</v>
      </c>
      <c r="X10" s="2">
        <f>E10*Navires!$D$2</f>
        <v>0</v>
      </c>
      <c r="Y10" s="2">
        <f>F10*Navires!$E$2</f>
        <v>15040</v>
      </c>
      <c r="Z10" s="2">
        <f>G10*Navires!$F$2</f>
        <v>11376</v>
      </c>
      <c r="AA10" s="2">
        <f>H10*Navires!$G$2</f>
        <v>8000</v>
      </c>
      <c r="AB10" s="2">
        <f>I10*Navires!$H$2</f>
        <v>6000</v>
      </c>
      <c r="AC10" s="2">
        <f>J10*Navires!$I$2</f>
        <v>0</v>
      </c>
      <c r="AD10" s="2">
        <f>K10*Navires!$J$2</f>
        <v>0</v>
      </c>
      <c r="AE10" s="2">
        <f>L10*Navires!$K$2</f>
        <v>1500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63421</v>
      </c>
      <c r="AM10" s="118" t="s">
        <v>42</v>
      </c>
      <c r="AN10" s="118">
        <f>C10*Navires!$B$6</f>
        <v>2852</v>
      </c>
      <c r="AO10" s="118">
        <f>D10*Navires!$C$6</f>
        <v>3422.3999999999996</v>
      </c>
      <c r="AP10" s="118">
        <f>E10*Navires!$D$6</f>
        <v>0</v>
      </c>
      <c r="AQ10" s="118">
        <f>F10*Navires!$E$6</f>
        <v>9824</v>
      </c>
      <c r="AR10" s="118">
        <f>G10*Navires!$F$6</f>
        <v>4084.8</v>
      </c>
      <c r="AS10" s="118">
        <f>H10*Navires!$G$6</f>
        <v>2720</v>
      </c>
      <c r="AT10" s="118">
        <f>I10*Navires!$H$6</f>
        <v>2040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7482.96</v>
      </c>
      <c r="BE10" s="118" t="s">
        <v>42</v>
      </c>
      <c r="BF10" s="118">
        <f>C10*Navires!$B$6</f>
        <v>2852</v>
      </c>
      <c r="BG10" s="118">
        <f>D10*Navires!$B$6</f>
        <v>3422.3999999999996</v>
      </c>
      <c r="BH10" s="118">
        <f>E10*Navires!$B$6</f>
        <v>0</v>
      </c>
      <c r="BI10" s="118">
        <f>F10*Navires!$B$6</f>
        <v>4563.2</v>
      </c>
      <c r="BJ10" s="118">
        <f>G10*Navires!$B$6</f>
        <v>3422.3999999999996</v>
      </c>
      <c r="BK10" s="118">
        <f>H10*Navires!$B$6</f>
        <v>2281.6</v>
      </c>
      <c r="BL10" s="118">
        <f>I10*Navires!$B$6</f>
        <v>1711.1999999999998</v>
      </c>
      <c r="BM10" s="118">
        <f>J10*Navires!$B$6</f>
        <v>0</v>
      </c>
      <c r="BN10" s="118">
        <f>K10*Navires!$B$6</f>
        <v>0</v>
      </c>
      <c r="BO10" s="118">
        <f>L10*Navires!$B$6</f>
        <v>570.4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31999.439999999999</v>
      </c>
    </row>
    <row r="11" spans="1:73" x14ac:dyDescent="0.25">
      <c r="A11" t="s">
        <v>55</v>
      </c>
      <c r="B11" s="2" t="s">
        <v>43</v>
      </c>
      <c r="C11" s="2">
        <v>5</v>
      </c>
      <c r="D11" s="2">
        <v>8</v>
      </c>
      <c r="E11" s="2">
        <v>0</v>
      </c>
      <c r="F11" s="2">
        <v>7</v>
      </c>
      <c r="G11" s="2">
        <v>7</v>
      </c>
      <c r="H11" s="2">
        <v>2</v>
      </c>
      <c r="I11" s="2">
        <v>3</v>
      </c>
      <c r="J11" s="2"/>
      <c r="K11" s="2"/>
      <c r="L11" s="2">
        <v>0</v>
      </c>
      <c r="M11" s="2"/>
      <c r="N11" s="2"/>
      <c r="O11" s="2"/>
      <c r="P11" s="2"/>
      <c r="Q11" s="32"/>
      <c r="R11" s="34">
        <f t="shared" si="0"/>
        <v>32</v>
      </c>
      <c r="S11" s="82">
        <f t="shared" si="1"/>
        <v>7.2234762979683982</v>
      </c>
      <c r="U11" s="2" t="s">
        <v>43</v>
      </c>
      <c r="V11" s="2">
        <f>C11*Navires!$B$2</f>
        <v>9775</v>
      </c>
      <c r="W11" s="2">
        <f>D11*Navires!$C$2</f>
        <v>15640</v>
      </c>
      <c r="X11" s="2">
        <f>E11*Navires!$D$2</f>
        <v>0</v>
      </c>
      <c r="Y11" s="2">
        <f>F11*Navires!$E$2</f>
        <v>13160</v>
      </c>
      <c r="Z11" s="2">
        <f>G11*Navires!$F$2</f>
        <v>13272</v>
      </c>
      <c r="AA11" s="2">
        <f>H11*Navires!$G$2</f>
        <v>4000</v>
      </c>
      <c r="AB11" s="2">
        <f>I11*Navires!$H$2</f>
        <v>6000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61847</v>
      </c>
      <c r="AM11" s="118" t="s">
        <v>43</v>
      </c>
      <c r="AN11" s="118">
        <f>C11*Navires!$B$6</f>
        <v>2852</v>
      </c>
      <c r="AO11" s="118">
        <f>D11*Navires!$C$6</f>
        <v>4563.2</v>
      </c>
      <c r="AP11" s="118">
        <f>E11*Navires!$D$6</f>
        <v>0</v>
      </c>
      <c r="AQ11" s="118">
        <f>F11*Navires!$E$6</f>
        <v>8596</v>
      </c>
      <c r="AR11" s="118">
        <f>G11*Navires!$F$6</f>
        <v>4765.6000000000004</v>
      </c>
      <c r="AS11" s="118">
        <f>H11*Navires!$G$6</f>
        <v>1360</v>
      </c>
      <c r="AT11" s="118">
        <f>I11*Navires!$H$6</f>
        <v>2040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7253.0400000000009</v>
      </c>
      <c r="BE11" s="118" t="s">
        <v>43</v>
      </c>
      <c r="BF11" s="118">
        <f>C11*Navires!$B$6</f>
        <v>2852</v>
      </c>
      <c r="BG11" s="118">
        <f>D11*Navires!$B$6</f>
        <v>4563.2</v>
      </c>
      <c r="BH11" s="118">
        <f>E11*Navires!$B$6</f>
        <v>0</v>
      </c>
      <c r="BI11" s="118">
        <f>F11*Navires!$B$6</f>
        <v>3992.7999999999997</v>
      </c>
      <c r="BJ11" s="118">
        <f>G11*Navires!$B$6</f>
        <v>3992.7999999999997</v>
      </c>
      <c r="BK11" s="118">
        <f>H11*Navires!$B$6</f>
        <v>1140.8</v>
      </c>
      <c r="BL11" s="118">
        <f>I11*Navires!$B$6</f>
        <v>1711.1999999999998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31029.759999999998</v>
      </c>
    </row>
    <row r="12" spans="1:73" x14ac:dyDescent="0.25">
      <c r="A12" t="s">
        <v>56</v>
      </c>
      <c r="B12" s="2" t="s">
        <v>44</v>
      </c>
      <c r="C12" s="2">
        <v>8</v>
      </c>
      <c r="D12" s="2">
        <v>4</v>
      </c>
      <c r="E12" s="2">
        <v>0</v>
      </c>
      <c r="F12" s="2">
        <v>5</v>
      </c>
      <c r="G12" s="2">
        <v>4</v>
      </c>
      <c r="H12" s="2">
        <v>8</v>
      </c>
      <c r="I12" s="2">
        <v>5</v>
      </c>
      <c r="J12" s="2"/>
      <c r="K12" s="2"/>
      <c r="L12" s="2">
        <v>0</v>
      </c>
      <c r="M12" s="2"/>
      <c r="N12" s="2"/>
      <c r="O12" s="2"/>
      <c r="P12" s="2"/>
      <c r="Q12" s="32"/>
      <c r="R12" s="34">
        <f t="shared" si="0"/>
        <v>34</v>
      </c>
      <c r="S12" s="82">
        <f t="shared" si="1"/>
        <v>7.9439252336448591</v>
      </c>
      <c r="U12" s="2" t="s">
        <v>44</v>
      </c>
      <c r="V12" s="2">
        <f>C12*Navires!$B$2</f>
        <v>15640</v>
      </c>
      <c r="W12" s="2">
        <f>D12*Navires!$C$2</f>
        <v>7820</v>
      </c>
      <c r="X12" s="2">
        <f>E12*Navires!$D$2</f>
        <v>0</v>
      </c>
      <c r="Y12" s="2">
        <f>F12*Navires!$E$2</f>
        <v>9400</v>
      </c>
      <c r="Z12" s="2">
        <f>G12*Navires!$F$2</f>
        <v>7584</v>
      </c>
      <c r="AA12" s="2">
        <f>H12*Navires!$G$2</f>
        <v>16000</v>
      </c>
      <c r="AB12" s="2">
        <f>I12*Navires!$H$2</f>
        <v>10000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66444</v>
      </c>
      <c r="AM12" s="118" t="s">
        <v>44</v>
      </c>
      <c r="AN12" s="118">
        <f>C12*Navires!$B$6</f>
        <v>4563.2</v>
      </c>
      <c r="AO12" s="118">
        <f>D12*Navires!$C$6</f>
        <v>2281.6</v>
      </c>
      <c r="AP12" s="118">
        <f>E12*Navires!$D$6</f>
        <v>0</v>
      </c>
      <c r="AQ12" s="118">
        <f>F12*Navires!$E$6</f>
        <v>6140</v>
      </c>
      <c r="AR12" s="118">
        <f>G12*Navires!$F$6</f>
        <v>2723.2000000000003</v>
      </c>
      <c r="AS12" s="118">
        <f>H12*Navires!$G$6</f>
        <v>5440</v>
      </c>
      <c r="AT12" s="118">
        <f>I12*Navires!$H$6</f>
        <v>3400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7364.4</v>
      </c>
      <c r="BE12" s="118" t="s">
        <v>44</v>
      </c>
      <c r="BF12" s="118">
        <f>C12*Navires!$B$6</f>
        <v>4563.2</v>
      </c>
      <c r="BG12" s="118">
        <f>D12*Navires!$B$6</f>
        <v>2281.6</v>
      </c>
      <c r="BH12" s="118">
        <f>E12*Navires!$B$6</f>
        <v>0</v>
      </c>
      <c r="BI12" s="118">
        <f>F12*Navires!$B$6</f>
        <v>2852</v>
      </c>
      <c r="BJ12" s="118">
        <f>G12*Navires!$B$6</f>
        <v>2281.6</v>
      </c>
      <c r="BK12" s="118">
        <f>H12*Navires!$B$6</f>
        <v>4563.2</v>
      </c>
      <c r="BL12" s="118">
        <f>I12*Navires!$B$6</f>
        <v>2852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32969.119999999995</v>
      </c>
    </row>
    <row r="13" spans="1:73" x14ac:dyDescent="0.25">
      <c r="A13" t="s">
        <v>57</v>
      </c>
      <c r="B13" s="2" t="s">
        <v>45</v>
      </c>
      <c r="C13" s="2">
        <v>3</v>
      </c>
      <c r="D13" s="2">
        <v>1</v>
      </c>
      <c r="E13" s="2">
        <v>1</v>
      </c>
      <c r="F13" s="2">
        <v>2</v>
      </c>
      <c r="G13" s="2">
        <v>5</v>
      </c>
      <c r="H13" s="2">
        <v>8</v>
      </c>
      <c r="I13" s="2">
        <v>12</v>
      </c>
      <c r="J13" s="2"/>
      <c r="K13" s="2"/>
      <c r="L13" s="2">
        <v>0</v>
      </c>
      <c r="M13" s="2"/>
      <c r="N13" s="2"/>
      <c r="O13" s="2"/>
      <c r="P13" s="2"/>
      <c r="Q13" s="32"/>
      <c r="R13" s="34">
        <f t="shared" si="0"/>
        <v>32</v>
      </c>
      <c r="S13" s="82">
        <f t="shared" si="1"/>
        <v>7.2234762979683982</v>
      </c>
      <c r="U13" s="2" t="s">
        <v>45</v>
      </c>
      <c r="V13" s="2">
        <f>C13*Navires!$B$2</f>
        <v>5865</v>
      </c>
      <c r="W13" s="2">
        <f>D13*Navires!$C$2</f>
        <v>1955</v>
      </c>
      <c r="X13" s="2">
        <f>E13*Navires!$D$2</f>
        <v>2106</v>
      </c>
      <c r="Y13" s="2">
        <f>F13*Navires!$E$2</f>
        <v>3760</v>
      </c>
      <c r="Z13" s="2">
        <f>G13*Navires!$F$2</f>
        <v>9480</v>
      </c>
      <c r="AA13" s="2">
        <f>H13*Navires!$G$2</f>
        <v>16000</v>
      </c>
      <c r="AB13" s="2">
        <f>I13*Navires!$H$2</f>
        <v>24000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63166</v>
      </c>
      <c r="AM13" s="118" t="s">
        <v>45</v>
      </c>
      <c r="AN13" s="118">
        <f>C13*Navires!$B$6</f>
        <v>1711.1999999999998</v>
      </c>
      <c r="AO13" s="118">
        <f>D13*Navires!$C$6</f>
        <v>570.4</v>
      </c>
      <c r="AP13" s="118">
        <f>E13*Navires!$D$6</f>
        <v>800</v>
      </c>
      <c r="AQ13" s="118">
        <f>F13*Navires!$E$6</f>
        <v>2456</v>
      </c>
      <c r="AR13" s="118">
        <f>G13*Navires!$F$6</f>
        <v>3404.0000000000005</v>
      </c>
      <c r="AS13" s="118">
        <f>H13*Navires!$G$6</f>
        <v>5440</v>
      </c>
      <c r="AT13" s="118">
        <f>I13*Navires!$H$6</f>
        <v>8160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11270.8</v>
      </c>
      <c r="BE13" s="118" t="s">
        <v>45</v>
      </c>
      <c r="BF13" s="118">
        <f>C13*Navires!$B$6</f>
        <v>1711.1999999999998</v>
      </c>
      <c r="BG13" s="118">
        <f>D13*Navires!$B$6</f>
        <v>570.4</v>
      </c>
      <c r="BH13" s="118">
        <f>E13*Navires!$B$6</f>
        <v>570.4</v>
      </c>
      <c r="BI13" s="118">
        <f>F13*Navires!$B$6</f>
        <v>1140.8</v>
      </c>
      <c r="BJ13" s="118">
        <f>G13*Navires!$B$6</f>
        <v>2852</v>
      </c>
      <c r="BK13" s="118">
        <f>H13*Navires!$B$6</f>
        <v>4563.2</v>
      </c>
      <c r="BL13" s="118">
        <f>I13*Navires!$B$6</f>
        <v>6844.7999999999993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31029.759999999998</v>
      </c>
    </row>
    <row r="14" spans="1:73" x14ac:dyDescent="0.25">
      <c r="A14" t="s">
        <v>58</v>
      </c>
      <c r="B14" s="2" t="s">
        <v>46</v>
      </c>
      <c r="C14" s="2">
        <v>3</v>
      </c>
      <c r="D14" s="2">
        <v>2</v>
      </c>
      <c r="E14" s="2">
        <v>0</v>
      </c>
      <c r="F14" s="2">
        <v>11</v>
      </c>
      <c r="G14" s="2">
        <v>10</v>
      </c>
      <c r="H14" s="2">
        <v>3</v>
      </c>
      <c r="I14" s="2">
        <v>1</v>
      </c>
      <c r="J14" s="2"/>
      <c r="K14" s="2"/>
      <c r="L14" s="2">
        <v>0</v>
      </c>
      <c r="M14" s="2"/>
      <c r="N14" s="2"/>
      <c r="O14" s="2"/>
      <c r="P14" s="2"/>
      <c r="Q14" s="32"/>
      <c r="R14" s="34">
        <f t="shared" si="0"/>
        <v>30</v>
      </c>
      <c r="S14" s="82">
        <f t="shared" si="1"/>
        <v>7.009345794392523</v>
      </c>
      <c r="U14" s="2" t="s">
        <v>46</v>
      </c>
      <c r="V14" s="2">
        <f>C14*Navires!$B$2</f>
        <v>5865</v>
      </c>
      <c r="W14" s="2">
        <f>D14*Navires!$C$2</f>
        <v>3910</v>
      </c>
      <c r="X14" s="2">
        <f>E14*Navires!$D$2</f>
        <v>0</v>
      </c>
      <c r="Y14" s="2">
        <f>F14*Navires!$E$2</f>
        <v>20680</v>
      </c>
      <c r="Z14" s="2">
        <f>G14*Navires!$F$2</f>
        <v>18960</v>
      </c>
      <c r="AA14" s="2">
        <f>H14*Navires!$G$2</f>
        <v>6000</v>
      </c>
      <c r="AB14" s="2">
        <f>I14*Navires!$H$2</f>
        <v>2000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57415</v>
      </c>
      <c r="AM14" s="118" t="s">
        <v>46</v>
      </c>
      <c r="AN14" s="118">
        <f>C14*Navires!$B$6</f>
        <v>1711.1999999999998</v>
      </c>
      <c r="AO14" s="118">
        <f>D14*Navires!$C$6</f>
        <v>1140.8</v>
      </c>
      <c r="AP14" s="118">
        <f>E14*Navires!$D$6</f>
        <v>0</v>
      </c>
      <c r="AQ14" s="118">
        <f>F14*Navires!$E$6</f>
        <v>13508</v>
      </c>
      <c r="AR14" s="118">
        <f>G14*Navires!$F$6</f>
        <v>6808.0000000000009</v>
      </c>
      <c r="AS14" s="118">
        <f>H14*Navires!$G$6</f>
        <v>2040</v>
      </c>
      <c r="AT14" s="118">
        <f>I14*Navires!$H$6</f>
        <v>680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12944</v>
      </c>
      <c r="BE14" s="118" t="s">
        <v>46</v>
      </c>
      <c r="BF14" s="118">
        <f>C14*Navires!$B$6</f>
        <v>1711.1999999999998</v>
      </c>
      <c r="BG14" s="118">
        <f>D14*Navires!$B$6</f>
        <v>1140.8</v>
      </c>
      <c r="BH14" s="118">
        <f>E14*Navires!$B$6</f>
        <v>0</v>
      </c>
      <c r="BI14" s="118">
        <f>F14*Navires!$B$6</f>
        <v>6274.4</v>
      </c>
      <c r="BJ14" s="118">
        <f>G14*Navires!$B$6</f>
        <v>5704</v>
      </c>
      <c r="BK14" s="118">
        <f>H14*Navires!$B$6</f>
        <v>1711.1999999999998</v>
      </c>
      <c r="BL14" s="118">
        <f>I14*Navires!$B$6</f>
        <v>570.4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11978.4</v>
      </c>
    </row>
    <row r="15" spans="1:73" x14ac:dyDescent="0.25">
      <c r="A15" t="s">
        <v>59</v>
      </c>
      <c r="B15" s="2" t="s">
        <v>47</v>
      </c>
      <c r="C15" s="2">
        <v>1</v>
      </c>
      <c r="D15" s="2">
        <v>0</v>
      </c>
      <c r="E15" s="2">
        <v>2</v>
      </c>
      <c r="F15" s="2">
        <v>7</v>
      </c>
      <c r="G15" s="2">
        <v>5</v>
      </c>
      <c r="H15" s="2">
        <v>8</v>
      </c>
      <c r="I15" s="2">
        <v>8</v>
      </c>
      <c r="J15" s="2"/>
      <c r="K15" s="2"/>
      <c r="L15" s="2">
        <v>0</v>
      </c>
      <c r="M15" s="2"/>
      <c r="N15" s="2"/>
      <c r="O15" s="2"/>
      <c r="P15" s="2"/>
      <c r="Q15" s="32"/>
      <c r="R15" s="34">
        <f t="shared" si="0"/>
        <v>31</v>
      </c>
      <c r="S15" s="82">
        <f t="shared" si="1"/>
        <v>6.9977426636568856</v>
      </c>
      <c r="U15" s="2" t="s">
        <v>47</v>
      </c>
      <c r="V15" s="2">
        <f>C15*Navires!$B$2</f>
        <v>1955</v>
      </c>
      <c r="W15" s="2">
        <f>D15*Navires!$C$2</f>
        <v>0</v>
      </c>
      <c r="X15" s="2">
        <f>E15*Navires!$D$2</f>
        <v>4212</v>
      </c>
      <c r="Y15" s="2">
        <f>F15*Navires!$E$2</f>
        <v>13160</v>
      </c>
      <c r="Z15" s="2">
        <f>G15*Navires!$F$2</f>
        <v>9480</v>
      </c>
      <c r="AA15" s="2">
        <f>H15*Navires!$G$2</f>
        <v>16000</v>
      </c>
      <c r="AB15" s="2">
        <f>I15*Navires!$H$2</f>
        <v>16000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60807</v>
      </c>
      <c r="AM15" s="118" t="s">
        <v>47</v>
      </c>
      <c r="AN15" s="118">
        <f>C15*Navires!$B$6</f>
        <v>570.4</v>
      </c>
      <c r="AO15" s="118">
        <f>D15*Navires!$C$6</f>
        <v>0</v>
      </c>
      <c r="AP15" s="118">
        <f>E15*Navires!$D$6</f>
        <v>1600</v>
      </c>
      <c r="AQ15" s="118">
        <f>F15*Navires!$E$6</f>
        <v>8596</v>
      </c>
      <c r="AR15" s="118">
        <f>G15*Navires!$F$6</f>
        <v>3404.0000000000005</v>
      </c>
      <c r="AS15" s="118">
        <f>H15*Navires!$G$6</f>
        <v>5440</v>
      </c>
      <c r="AT15" s="118">
        <f>I15*Navires!$H$6</f>
        <v>5440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12525.2</v>
      </c>
      <c r="BE15" s="118" t="s">
        <v>47</v>
      </c>
      <c r="BF15" s="118">
        <f>C15*Navires!$B$6</f>
        <v>570.4</v>
      </c>
      <c r="BG15" s="118">
        <f>D15*Navires!$B$6</f>
        <v>0</v>
      </c>
      <c r="BH15" s="118">
        <f>E15*Navires!$B$6</f>
        <v>1140.8</v>
      </c>
      <c r="BI15" s="118">
        <f>F15*Navires!$B$6</f>
        <v>3992.7999999999997</v>
      </c>
      <c r="BJ15" s="118">
        <f>G15*Navires!$B$6</f>
        <v>2852</v>
      </c>
      <c r="BK15" s="118">
        <f>H15*Navires!$B$6</f>
        <v>4563.2</v>
      </c>
      <c r="BL15" s="118">
        <f>I15*Navires!$B$6</f>
        <v>4563.2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12377.68</v>
      </c>
    </row>
    <row r="16" spans="1:73" x14ac:dyDescent="0.25">
      <c r="B16" s="29" t="s">
        <v>60</v>
      </c>
      <c r="C16" s="30">
        <f>SUM(C4:C15)</f>
        <v>70</v>
      </c>
      <c r="D16" s="30">
        <f t="shared" ref="D16:Q16" si="2">SUM(D4:D15)</f>
        <v>55</v>
      </c>
      <c r="E16" s="30">
        <f t="shared" si="2"/>
        <v>6</v>
      </c>
      <c r="F16" s="30">
        <f t="shared" si="2"/>
        <v>80</v>
      </c>
      <c r="G16" s="30">
        <f t="shared" si="2"/>
        <v>64</v>
      </c>
      <c r="H16" s="30">
        <f t="shared" si="2"/>
        <v>61</v>
      </c>
      <c r="I16" s="30">
        <f t="shared" si="2"/>
        <v>57</v>
      </c>
      <c r="J16" s="30">
        <f t="shared" si="2"/>
        <v>0</v>
      </c>
      <c r="K16" s="30">
        <f t="shared" si="2"/>
        <v>0</v>
      </c>
      <c r="L16" s="30">
        <f t="shared" si="2"/>
        <v>1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394</v>
      </c>
      <c r="S16" s="82">
        <f t="shared" si="1"/>
        <v>7.5580280069058121</v>
      </c>
      <c r="U16" s="29" t="s">
        <v>60</v>
      </c>
      <c r="V16" s="30">
        <f>SUM(V4:V15)</f>
        <v>136850</v>
      </c>
      <c r="W16" s="30">
        <f t="shared" ref="W16:AJ16" si="3">SUM(W4:W15)</f>
        <v>107525</v>
      </c>
      <c r="X16" s="30">
        <f t="shared" si="3"/>
        <v>12636</v>
      </c>
      <c r="Y16" s="30">
        <f t="shared" si="3"/>
        <v>150400</v>
      </c>
      <c r="Z16" s="30">
        <f t="shared" si="3"/>
        <v>121344</v>
      </c>
      <c r="AA16" s="30">
        <f t="shared" si="3"/>
        <v>122000</v>
      </c>
      <c r="AB16" s="30">
        <f t="shared" si="3"/>
        <v>114000</v>
      </c>
      <c r="AC16" s="30">
        <f t="shared" si="3"/>
        <v>0</v>
      </c>
      <c r="AD16" s="30">
        <f t="shared" si="3"/>
        <v>0</v>
      </c>
      <c r="AE16" s="30">
        <f t="shared" si="3"/>
        <v>1500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39927.999999999993</v>
      </c>
      <c r="AO16" s="30">
        <f t="shared" ref="AO16:BB16" si="4">SUM(AO4:AO15)</f>
        <v>31372</v>
      </c>
      <c r="AP16" s="30">
        <f t="shared" si="4"/>
        <v>4800</v>
      </c>
      <c r="AQ16" s="30">
        <f t="shared" si="4"/>
        <v>98240</v>
      </c>
      <c r="AR16" s="30">
        <f t="shared" si="4"/>
        <v>43571.200000000004</v>
      </c>
      <c r="AS16" s="30">
        <f t="shared" si="4"/>
        <v>41480</v>
      </c>
      <c r="AT16" s="30">
        <f t="shared" si="4"/>
        <v>38760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39927.999999999993</v>
      </c>
      <c r="BG16" s="30">
        <f t="shared" ref="BG16:BT16" si="5">SUM(BG4:BG15)</f>
        <v>31372</v>
      </c>
      <c r="BH16" s="30">
        <f t="shared" si="5"/>
        <v>3422.3999999999996</v>
      </c>
      <c r="BI16" s="30">
        <f t="shared" si="5"/>
        <v>45632.000000000007</v>
      </c>
      <c r="BJ16" s="30">
        <f t="shared" si="5"/>
        <v>36505.599999999991</v>
      </c>
      <c r="BK16" s="30">
        <f t="shared" si="5"/>
        <v>34794.400000000001</v>
      </c>
      <c r="BL16" s="30">
        <f t="shared" si="5"/>
        <v>32512.800000000003</v>
      </c>
      <c r="BM16" s="30">
        <f t="shared" si="5"/>
        <v>0</v>
      </c>
      <c r="BN16" s="30">
        <f t="shared" si="5"/>
        <v>0</v>
      </c>
      <c r="BO16" s="30">
        <f t="shared" si="5"/>
        <v>570.4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66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4</v>
      </c>
      <c r="D21" s="2">
        <v>11</v>
      </c>
      <c r="E21" s="2">
        <v>1</v>
      </c>
      <c r="F21" s="2">
        <v>2</v>
      </c>
      <c r="G21" s="2">
        <v>11</v>
      </c>
      <c r="H21" s="2">
        <v>6</v>
      </c>
      <c r="I21" s="2">
        <v>0</v>
      </c>
      <c r="J21" s="2"/>
      <c r="K21" s="2"/>
      <c r="L21" s="2">
        <v>0</v>
      </c>
      <c r="M21" s="2"/>
      <c r="N21" s="2"/>
      <c r="O21" s="2"/>
      <c r="P21" s="2"/>
      <c r="Q21" s="32"/>
      <c r="R21" s="34">
        <f>SUM(C21:Q21)</f>
        <v>35</v>
      </c>
      <c r="S21" s="82">
        <f>R21/R36</f>
        <v>7.9006772009029351</v>
      </c>
      <c r="U21" s="2" t="s">
        <v>36</v>
      </c>
      <c r="V21" s="2">
        <f>C21*Navires!$B$2</f>
        <v>7820</v>
      </c>
      <c r="W21" s="2">
        <f>D21*Navires!$C$2</f>
        <v>21505</v>
      </c>
      <c r="X21" s="2">
        <f>E21*Navires!$D$2</f>
        <v>2106</v>
      </c>
      <c r="Y21" s="2">
        <f>F21*Navires!$E$2</f>
        <v>3760</v>
      </c>
      <c r="Z21" s="2">
        <f>G21*Navires!$F$2</f>
        <v>20856</v>
      </c>
      <c r="AA21" s="2">
        <f>H21*Navires!$G$2</f>
        <v>12000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68047</v>
      </c>
      <c r="AM21" s="118" t="s">
        <v>36</v>
      </c>
      <c r="AN21" s="118">
        <f>C21*Navires!$B$6</f>
        <v>2281.6</v>
      </c>
      <c r="AO21" s="118">
        <f>D21*Navires!$C$6</f>
        <v>6274.4</v>
      </c>
      <c r="AP21" s="118">
        <f>E21*Navires!$D$6</f>
        <v>800</v>
      </c>
      <c r="AQ21" s="118">
        <f>F21*Navires!$E$6</f>
        <v>2456</v>
      </c>
      <c r="AR21" s="118">
        <f>G21*Navires!$F$6</f>
        <v>7488.8000000000011</v>
      </c>
      <c r="AS21" s="118">
        <f>H21*Navires!$G$6</f>
        <v>4080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11690.400000000001</v>
      </c>
      <c r="BE21" s="118" t="s">
        <v>36</v>
      </c>
      <c r="BF21" s="118">
        <f>C21*Navires!$B$6</f>
        <v>2281.6</v>
      </c>
      <c r="BG21" s="118">
        <f>D21*Navires!$B$6</f>
        <v>6274.4</v>
      </c>
      <c r="BH21" s="118">
        <f>E21*Navires!$B$6</f>
        <v>570.4</v>
      </c>
      <c r="BI21" s="118">
        <f>F21*Navires!$B$6</f>
        <v>1140.8</v>
      </c>
      <c r="BJ21" s="118">
        <f>G21*Navires!$B$6</f>
        <v>6274.4</v>
      </c>
      <c r="BK21" s="118">
        <f>H21*Navires!$B$6</f>
        <v>3422.3999999999996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13974.8</v>
      </c>
    </row>
    <row r="22" spans="1:73" x14ac:dyDescent="0.25">
      <c r="A22" t="s">
        <v>49</v>
      </c>
      <c r="B22" s="2" t="s">
        <v>37</v>
      </c>
      <c r="C22" s="2">
        <v>8</v>
      </c>
      <c r="D22" s="2">
        <v>0</v>
      </c>
      <c r="E22">
        <v>0</v>
      </c>
      <c r="F22" s="2">
        <v>6</v>
      </c>
      <c r="G22" s="2">
        <v>11</v>
      </c>
      <c r="H22" s="2">
        <v>7</v>
      </c>
      <c r="I22" s="2">
        <v>0</v>
      </c>
      <c r="J22" s="2"/>
      <c r="K22" s="2"/>
      <c r="L22" s="2">
        <v>0</v>
      </c>
      <c r="M22" s="2"/>
      <c r="N22" s="2"/>
      <c r="O22" s="2"/>
      <c r="P22" s="2"/>
      <c r="Q22" s="32"/>
      <c r="R22" s="34">
        <f t="shared" ref="R22:R33" si="6">SUM(C22:Q22)</f>
        <v>32</v>
      </c>
      <c r="S22" s="82">
        <f t="shared" ref="S22:S33" si="7">R22/R37</f>
        <v>8</v>
      </c>
      <c r="U22" s="2" t="s">
        <v>37</v>
      </c>
      <c r="V22" s="2">
        <f>C22*Navires!$B$2</f>
        <v>15640</v>
      </c>
      <c r="W22" s="2">
        <f>D22*Navires!$C$2</f>
        <v>0</v>
      </c>
      <c r="X22" s="2">
        <f>E22*Navires!$D$2</f>
        <v>0</v>
      </c>
      <c r="Y22" s="2">
        <f>F22*Navires!$E$2</f>
        <v>11280</v>
      </c>
      <c r="Z22" s="2">
        <f>G22*Navires!$F$2</f>
        <v>20856</v>
      </c>
      <c r="AA22" s="2">
        <f>H22*Navires!$G$2</f>
        <v>14000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61776</v>
      </c>
      <c r="AM22" s="118" t="s">
        <v>37</v>
      </c>
      <c r="AN22" s="118">
        <f>C22*Navires!$B$6</f>
        <v>4563.2</v>
      </c>
      <c r="AO22" s="118">
        <f>D22*Navires!$C$6</f>
        <v>0</v>
      </c>
      <c r="AP22" s="118">
        <f>E22*Navires!$D$6</f>
        <v>0</v>
      </c>
      <c r="AQ22" s="118">
        <f>F22*Navires!$E$6</f>
        <v>7368</v>
      </c>
      <c r="AR22" s="118">
        <f>G22*Navires!$F$6</f>
        <v>7488.8000000000011</v>
      </c>
      <c r="AS22" s="118">
        <f>H22*Navires!$G$6</f>
        <v>4760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12090</v>
      </c>
      <c r="BE22" s="118" t="s">
        <v>37</v>
      </c>
      <c r="BF22" s="118">
        <f>C22*Navires!$B$6</f>
        <v>4563.2</v>
      </c>
      <c r="BG22" s="118">
        <f>D22*Navires!$B$6</f>
        <v>0</v>
      </c>
      <c r="BH22" s="118">
        <f>E22*Navires!$B$6</f>
        <v>0</v>
      </c>
      <c r="BI22" s="118">
        <f>F22*Navires!$B$6</f>
        <v>3422.3999999999996</v>
      </c>
      <c r="BJ22" s="118">
        <f>G22*Navires!$B$6</f>
        <v>6274.4</v>
      </c>
      <c r="BK22" s="118">
        <f>H22*Navires!$B$6</f>
        <v>3992.7999999999997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12776.96</v>
      </c>
    </row>
    <row r="23" spans="1:73" x14ac:dyDescent="0.25">
      <c r="A23" t="s">
        <v>50</v>
      </c>
      <c r="B23" s="2" t="s">
        <v>38</v>
      </c>
      <c r="C23" s="2">
        <v>5</v>
      </c>
      <c r="D23" s="2">
        <v>12</v>
      </c>
      <c r="E23" s="2">
        <v>0</v>
      </c>
      <c r="F23" s="2">
        <v>11</v>
      </c>
      <c r="G23" s="2">
        <v>2</v>
      </c>
      <c r="H23" s="2">
        <v>2</v>
      </c>
      <c r="I23" s="2">
        <v>0</v>
      </c>
      <c r="J23" s="2"/>
      <c r="K23" s="2"/>
      <c r="L23" s="2">
        <v>0</v>
      </c>
      <c r="M23" s="2"/>
      <c r="N23" s="2"/>
      <c r="O23" s="2"/>
      <c r="P23" s="2"/>
      <c r="Q23" s="32"/>
      <c r="R23" s="34">
        <f t="shared" si="6"/>
        <v>32</v>
      </c>
      <c r="S23" s="82">
        <f t="shared" si="7"/>
        <v>7.2234762979683982</v>
      </c>
      <c r="U23" s="2" t="s">
        <v>38</v>
      </c>
      <c r="V23" s="2">
        <f>C23*Navires!$B$2</f>
        <v>9775</v>
      </c>
      <c r="W23" s="2">
        <f>D23*Navires!$C$2</f>
        <v>23460</v>
      </c>
      <c r="X23" s="2">
        <f>E23*Navires!$D$2</f>
        <v>0</v>
      </c>
      <c r="Y23" s="2">
        <f>F23*Navires!$E$2</f>
        <v>20680</v>
      </c>
      <c r="Z23" s="2">
        <f>G23*Navires!$F$2</f>
        <v>3792</v>
      </c>
      <c r="AA23" s="2">
        <f>H23*Navires!$G$2</f>
        <v>4000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61707</v>
      </c>
      <c r="AM23" s="118" t="s">
        <v>38</v>
      </c>
      <c r="AN23" s="118">
        <f>C23*Navires!$B$6</f>
        <v>2852</v>
      </c>
      <c r="AO23" s="118">
        <f>D23*Navires!$C$6</f>
        <v>6844.7999999999993</v>
      </c>
      <c r="AP23" s="118">
        <f>E23*Navires!$D$6</f>
        <v>0</v>
      </c>
      <c r="AQ23" s="118">
        <f>F23*Navires!$E$6</f>
        <v>13508</v>
      </c>
      <c r="AR23" s="118">
        <f>G23*Navires!$F$6</f>
        <v>1361.6000000000001</v>
      </c>
      <c r="AS23" s="118">
        <f>H23*Navires!$G$6</f>
        <v>1360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12963.199999999999</v>
      </c>
      <c r="BE23" s="118" t="s">
        <v>38</v>
      </c>
      <c r="BF23" s="118">
        <f>C23*Navires!$B$6</f>
        <v>2852</v>
      </c>
      <c r="BG23" s="118">
        <f>D23*Navires!$B$6</f>
        <v>6844.7999999999993</v>
      </c>
      <c r="BH23" s="118">
        <f>E23*Navires!$B$6</f>
        <v>0</v>
      </c>
      <c r="BI23" s="118">
        <f>F23*Navires!$B$6</f>
        <v>6274.4</v>
      </c>
      <c r="BJ23" s="118">
        <f>G23*Navires!$B$6</f>
        <v>1140.8</v>
      </c>
      <c r="BK23" s="118">
        <f>H23*Navires!$B$6</f>
        <v>1140.8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12776.96</v>
      </c>
    </row>
    <row r="24" spans="1:73" x14ac:dyDescent="0.25">
      <c r="A24" t="s">
        <v>51</v>
      </c>
      <c r="B24" s="2" t="s">
        <v>39</v>
      </c>
      <c r="C24" s="2">
        <v>12</v>
      </c>
      <c r="D24" s="2">
        <v>0</v>
      </c>
      <c r="E24" s="2">
        <v>0</v>
      </c>
      <c r="F24" s="2">
        <v>8</v>
      </c>
      <c r="G24" s="2">
        <v>0</v>
      </c>
      <c r="H24" s="2">
        <v>3</v>
      </c>
      <c r="I24" s="2">
        <v>8</v>
      </c>
      <c r="J24" s="2"/>
      <c r="K24" s="2"/>
      <c r="L24" s="2">
        <v>0</v>
      </c>
      <c r="M24" s="2"/>
      <c r="N24" s="2"/>
      <c r="O24" s="2"/>
      <c r="P24" s="2"/>
      <c r="Q24" s="32"/>
      <c r="R24" s="34">
        <f t="shared" si="6"/>
        <v>31</v>
      </c>
      <c r="S24" s="82">
        <f t="shared" si="7"/>
        <v>7.2429906542056068</v>
      </c>
      <c r="U24" s="2" t="s">
        <v>39</v>
      </c>
      <c r="V24" s="2">
        <f>C24*Navires!$B$2</f>
        <v>23460</v>
      </c>
      <c r="W24" s="2">
        <f>D24*Navires!$C$2</f>
        <v>0</v>
      </c>
      <c r="X24" s="2">
        <f>E24*Navires!$D$2</f>
        <v>0</v>
      </c>
      <c r="Y24" s="2">
        <f>F24*Navires!$E$2</f>
        <v>15040</v>
      </c>
      <c r="Z24" s="2">
        <f>G24*Navires!$F$2</f>
        <v>0</v>
      </c>
      <c r="AA24" s="2">
        <f>H24*Navires!$G$2</f>
        <v>6000</v>
      </c>
      <c r="AB24" s="2">
        <f>I24*Navires!$H$2</f>
        <v>16000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60500</v>
      </c>
      <c r="AM24" s="118" t="s">
        <v>39</v>
      </c>
      <c r="AN24" s="118">
        <f>C24*Navires!$B$6</f>
        <v>6844.7999999999993</v>
      </c>
      <c r="AO24" s="118">
        <f>D24*Navires!$C$6</f>
        <v>0</v>
      </c>
      <c r="AP24" s="118">
        <f>E24*Navires!$D$6</f>
        <v>0</v>
      </c>
      <c r="AQ24" s="118">
        <f>F24*Navires!$E$6</f>
        <v>9824</v>
      </c>
      <c r="AR24" s="118">
        <f>G24*Navires!$F$6</f>
        <v>0</v>
      </c>
      <c r="AS24" s="118">
        <f>H24*Navires!$G$6</f>
        <v>2040</v>
      </c>
      <c r="AT24" s="118">
        <f>I24*Navires!$H$6</f>
        <v>5440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12074.4</v>
      </c>
      <c r="BE24" s="118" t="s">
        <v>39</v>
      </c>
      <c r="BF24" s="118">
        <f>C24*Navires!$B$6</f>
        <v>6844.7999999999993</v>
      </c>
      <c r="BG24" s="118">
        <f>D24*Navires!$B$6</f>
        <v>0</v>
      </c>
      <c r="BH24" s="118">
        <f>E24*Navires!$B$6</f>
        <v>0</v>
      </c>
      <c r="BI24" s="118">
        <f>F24*Navires!$B$6</f>
        <v>4563.2</v>
      </c>
      <c r="BJ24" s="118">
        <f>G24*Navires!$B$6</f>
        <v>0</v>
      </c>
      <c r="BK24" s="118">
        <f>H24*Navires!$B$6</f>
        <v>1711.1999999999998</v>
      </c>
      <c r="BL24" s="118">
        <f>I24*Navires!$B$6</f>
        <v>4563.2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30060.080000000002</v>
      </c>
    </row>
    <row r="25" spans="1:73" x14ac:dyDescent="0.25">
      <c r="A25" t="s">
        <v>52</v>
      </c>
      <c r="B25" s="2" t="s">
        <v>40</v>
      </c>
      <c r="C25" s="2">
        <v>6</v>
      </c>
      <c r="D25" s="2">
        <v>6</v>
      </c>
      <c r="E25" s="2">
        <v>0</v>
      </c>
      <c r="F25" s="2">
        <v>7</v>
      </c>
      <c r="G25" s="2">
        <v>1</v>
      </c>
      <c r="H25" s="2">
        <v>4</v>
      </c>
      <c r="I25" s="2">
        <v>11</v>
      </c>
      <c r="J25" s="2"/>
      <c r="K25" s="2"/>
      <c r="L25" s="2">
        <v>0</v>
      </c>
      <c r="M25" s="2"/>
      <c r="N25" s="2"/>
      <c r="O25" s="2"/>
      <c r="P25" s="2"/>
      <c r="Q25" s="32"/>
      <c r="R25" s="34">
        <f t="shared" si="6"/>
        <v>35</v>
      </c>
      <c r="S25" s="82">
        <f t="shared" si="7"/>
        <v>7.9006772009029351</v>
      </c>
      <c r="U25" s="2" t="s">
        <v>40</v>
      </c>
      <c r="V25" s="2">
        <f>C25*Navires!$B$2</f>
        <v>11730</v>
      </c>
      <c r="W25" s="2">
        <f>D25*Navires!$C$2</f>
        <v>11730</v>
      </c>
      <c r="X25" s="2">
        <f>E25*Navires!$D$2</f>
        <v>0</v>
      </c>
      <c r="Y25" s="2">
        <f>F25*Navires!$E$2</f>
        <v>13160</v>
      </c>
      <c r="Z25" s="2">
        <f>G25*Navires!$F$2</f>
        <v>1896</v>
      </c>
      <c r="AA25" s="2">
        <f>H25*Navires!$G$2</f>
        <v>8000</v>
      </c>
      <c r="AB25" s="2">
        <f>I25*Navires!$H$2</f>
        <v>22000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68516</v>
      </c>
      <c r="AM25" s="118" t="s">
        <v>40</v>
      </c>
      <c r="AN25" s="118">
        <f>C25*Navires!$B$6</f>
        <v>3422.3999999999996</v>
      </c>
      <c r="AO25" s="118">
        <f>D25*Navires!$C$6</f>
        <v>3422.3999999999996</v>
      </c>
      <c r="AP25" s="118">
        <f>E25*Navires!$D$6</f>
        <v>0</v>
      </c>
      <c r="AQ25" s="118">
        <f>F25*Navires!$E$6</f>
        <v>8596</v>
      </c>
      <c r="AR25" s="118">
        <f>G25*Navires!$F$6</f>
        <v>680.80000000000007</v>
      </c>
      <c r="AS25" s="118">
        <f>H25*Navires!$G$6</f>
        <v>2720</v>
      </c>
      <c r="AT25" s="118">
        <f>I25*Navires!$H$6</f>
        <v>7480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7896.48</v>
      </c>
      <c r="BE25" s="118" t="s">
        <v>40</v>
      </c>
      <c r="BF25" s="118">
        <f>C25*Navires!$B$6</f>
        <v>3422.3999999999996</v>
      </c>
      <c r="BG25" s="118">
        <f>D25*Navires!$B$6</f>
        <v>3422.3999999999996</v>
      </c>
      <c r="BH25" s="118">
        <f>E25*Navires!$B$6</f>
        <v>0</v>
      </c>
      <c r="BI25" s="118">
        <f>F25*Navires!$B$6</f>
        <v>3992.7999999999997</v>
      </c>
      <c r="BJ25" s="118">
        <f>G25*Navires!$B$6</f>
        <v>570.4</v>
      </c>
      <c r="BK25" s="118">
        <f>H25*Navires!$B$6</f>
        <v>2281.6</v>
      </c>
      <c r="BL25" s="118">
        <f>I25*Navires!$B$6</f>
        <v>6274.4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33938.799999999996</v>
      </c>
    </row>
    <row r="26" spans="1:73" x14ac:dyDescent="0.25">
      <c r="A26" t="s">
        <v>53</v>
      </c>
      <c r="B26" s="2" t="s">
        <v>41</v>
      </c>
      <c r="C26" s="2">
        <v>9</v>
      </c>
      <c r="D26" s="2">
        <v>5</v>
      </c>
      <c r="E26" s="2">
        <v>1</v>
      </c>
      <c r="F26" s="2">
        <v>4</v>
      </c>
      <c r="G26" s="2">
        <v>1</v>
      </c>
      <c r="H26" s="2">
        <v>6</v>
      </c>
      <c r="I26" s="2">
        <v>9</v>
      </c>
      <c r="J26" s="2"/>
      <c r="K26" s="2"/>
      <c r="L26" s="2">
        <v>0</v>
      </c>
      <c r="M26" s="2"/>
      <c r="N26" s="2"/>
      <c r="O26" s="2"/>
      <c r="P26" s="2"/>
      <c r="Q26" s="32"/>
      <c r="R26" s="34">
        <f t="shared" si="6"/>
        <v>35</v>
      </c>
      <c r="S26" s="82">
        <f t="shared" si="7"/>
        <v>8.1775700934579429</v>
      </c>
      <c r="U26" s="2" t="s">
        <v>41</v>
      </c>
      <c r="V26" s="2">
        <f>C26*Navires!$B$2</f>
        <v>17595</v>
      </c>
      <c r="W26" s="2">
        <f>D26*Navires!$C$2</f>
        <v>9775</v>
      </c>
      <c r="X26" s="2">
        <f>E26*Navires!$D$2</f>
        <v>2106</v>
      </c>
      <c r="Y26" s="2">
        <f>F26*Navires!$E$2</f>
        <v>7520</v>
      </c>
      <c r="Z26" s="2">
        <f>G26*Navires!$F$2</f>
        <v>1896</v>
      </c>
      <c r="AA26" s="2">
        <f>H26*Navires!$G$2</f>
        <v>12000</v>
      </c>
      <c r="AB26" s="2">
        <f>I26*Navires!$H$2</f>
        <v>18000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68892</v>
      </c>
      <c r="AM26" s="118" t="s">
        <v>41</v>
      </c>
      <c r="AN26" s="118">
        <f>C26*Navires!$B$6</f>
        <v>5133.5999999999995</v>
      </c>
      <c r="AO26" s="118">
        <f>D26*Navires!$C$6</f>
        <v>2852</v>
      </c>
      <c r="AP26" s="118">
        <f>E26*Navires!$D$6</f>
        <v>800</v>
      </c>
      <c r="AQ26" s="118">
        <f>F26*Navires!$E$6</f>
        <v>4912</v>
      </c>
      <c r="AR26" s="118">
        <f>G26*Navires!$F$6</f>
        <v>680.80000000000007</v>
      </c>
      <c r="AS26" s="118">
        <f>H26*Navires!$G$6</f>
        <v>4080</v>
      </c>
      <c r="AT26" s="118">
        <f>I26*Navires!$H$6</f>
        <v>6120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7373.5199999999986</v>
      </c>
      <c r="BE26" s="118" t="s">
        <v>41</v>
      </c>
      <c r="BF26" s="118">
        <f>C26*Navires!$B$6</f>
        <v>5133.5999999999995</v>
      </c>
      <c r="BG26" s="118">
        <f>D26*Navires!$B$6</f>
        <v>2852</v>
      </c>
      <c r="BH26" s="118">
        <f>E26*Navires!$B$6</f>
        <v>570.4</v>
      </c>
      <c r="BI26" s="118">
        <f>F26*Navires!$B$6</f>
        <v>2281.6</v>
      </c>
      <c r="BJ26" s="118">
        <f>G26*Navires!$B$6</f>
        <v>570.4</v>
      </c>
      <c r="BK26" s="118">
        <f>H26*Navires!$B$6</f>
        <v>3422.3999999999996</v>
      </c>
      <c r="BL26" s="118">
        <f>I26*Navires!$B$6</f>
        <v>5133.5999999999995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33938.799999999996</v>
      </c>
    </row>
    <row r="27" spans="1:73" x14ac:dyDescent="0.25">
      <c r="A27" t="s">
        <v>54</v>
      </c>
      <c r="B27" s="2" t="s">
        <v>42</v>
      </c>
      <c r="C27" s="2">
        <v>6</v>
      </c>
      <c r="D27" s="2">
        <v>8</v>
      </c>
      <c r="E27" s="2">
        <v>0</v>
      </c>
      <c r="F27" s="2">
        <v>6</v>
      </c>
      <c r="G27" s="2">
        <v>7</v>
      </c>
      <c r="H27" s="2">
        <v>5</v>
      </c>
      <c r="I27" s="2">
        <v>5</v>
      </c>
      <c r="J27" s="2"/>
      <c r="K27" s="2"/>
      <c r="L27" s="2">
        <v>1</v>
      </c>
      <c r="M27" s="2"/>
      <c r="N27" s="2"/>
      <c r="O27" s="2"/>
      <c r="P27" s="2"/>
      <c r="Q27" s="32"/>
      <c r="R27" s="34">
        <f t="shared" si="6"/>
        <v>38</v>
      </c>
      <c r="S27" s="82">
        <f t="shared" si="7"/>
        <v>8.5778781038374721</v>
      </c>
      <c r="U27" s="2" t="s">
        <v>42</v>
      </c>
      <c r="V27" s="2">
        <f>C27*Navires!$B$2</f>
        <v>11730</v>
      </c>
      <c r="W27" s="2">
        <f>D27*Navires!$C$2</f>
        <v>15640</v>
      </c>
      <c r="X27" s="2">
        <f>E27*Navires!$D$2</f>
        <v>0</v>
      </c>
      <c r="Y27" s="2">
        <f>F27*Navires!$E$2</f>
        <v>11280</v>
      </c>
      <c r="Z27" s="2">
        <f>G27*Navires!$F$2</f>
        <v>13272</v>
      </c>
      <c r="AA27" s="2">
        <f>H27*Navires!$G$2</f>
        <v>10000</v>
      </c>
      <c r="AB27" s="2">
        <f>I27*Navires!$H$2</f>
        <v>10000</v>
      </c>
      <c r="AC27" s="2">
        <f>J27*Navires!$I$2</f>
        <v>0</v>
      </c>
      <c r="AD27" s="2">
        <f>K27*Navires!$J$2</f>
        <v>0</v>
      </c>
      <c r="AE27" s="2">
        <f>L27*Navires!$K$2</f>
        <v>1500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73422</v>
      </c>
      <c r="AM27" s="118" t="s">
        <v>42</v>
      </c>
      <c r="AN27" s="118">
        <f>C27*Navires!$B$6</f>
        <v>3422.3999999999996</v>
      </c>
      <c r="AO27" s="118">
        <f>D27*Navires!$C$6</f>
        <v>4563.2</v>
      </c>
      <c r="AP27" s="118">
        <f>E27*Navires!$D$6</f>
        <v>0</v>
      </c>
      <c r="AQ27" s="118">
        <f>F27*Navires!$E$6</f>
        <v>7368</v>
      </c>
      <c r="AR27" s="118">
        <f>G27*Navires!$F$6</f>
        <v>4765.6000000000004</v>
      </c>
      <c r="AS27" s="118">
        <f>H27*Navires!$G$6</f>
        <v>3400</v>
      </c>
      <c r="AT27" s="118">
        <f>I27*Navires!$H$6</f>
        <v>3400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8075.7599999999984</v>
      </c>
      <c r="BE27" s="118" t="s">
        <v>42</v>
      </c>
      <c r="BF27" s="118">
        <f>C27*Navires!$B$6</f>
        <v>3422.3999999999996</v>
      </c>
      <c r="BG27" s="118">
        <f>D27*Navires!$B$6</f>
        <v>4563.2</v>
      </c>
      <c r="BH27" s="118">
        <f>E27*Navires!$B$6</f>
        <v>0</v>
      </c>
      <c r="BI27" s="118">
        <f>F27*Navires!$B$6</f>
        <v>3422.3999999999996</v>
      </c>
      <c r="BJ27" s="118">
        <f>G27*Navires!$B$6</f>
        <v>3992.7999999999997</v>
      </c>
      <c r="BK27" s="118">
        <f>H27*Navires!$B$6</f>
        <v>2852</v>
      </c>
      <c r="BL27" s="118">
        <f>I27*Navires!$B$6</f>
        <v>2852</v>
      </c>
      <c r="BM27" s="118">
        <f>J27*Navires!$B$6</f>
        <v>0</v>
      </c>
      <c r="BN27" s="118">
        <f>K27*Navires!$B$6</f>
        <v>0</v>
      </c>
      <c r="BO27" s="118">
        <f>L27*Navires!$B$6</f>
        <v>570.4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36847.840000000004</v>
      </c>
    </row>
    <row r="28" spans="1:73" x14ac:dyDescent="0.25">
      <c r="A28" t="s">
        <v>55</v>
      </c>
      <c r="B28" s="2" t="s">
        <v>43</v>
      </c>
      <c r="C28" s="2">
        <v>4</v>
      </c>
      <c r="D28" s="2">
        <v>6</v>
      </c>
      <c r="E28" s="2">
        <v>0</v>
      </c>
      <c r="F28" s="2">
        <v>10</v>
      </c>
      <c r="G28" s="2">
        <v>8</v>
      </c>
      <c r="H28" s="2">
        <v>3</v>
      </c>
      <c r="I28" s="2">
        <v>3</v>
      </c>
      <c r="J28" s="2"/>
      <c r="K28" s="2"/>
      <c r="L28" s="2">
        <v>0</v>
      </c>
      <c r="M28" s="2"/>
      <c r="N28" s="2"/>
      <c r="O28" s="2"/>
      <c r="P28" s="2"/>
      <c r="Q28" s="32"/>
      <c r="R28" s="34">
        <f t="shared" si="6"/>
        <v>34</v>
      </c>
      <c r="S28" s="82">
        <f t="shared" si="7"/>
        <v>7.6749435665914225</v>
      </c>
      <c r="U28" s="2" t="s">
        <v>43</v>
      </c>
      <c r="V28" s="2">
        <f>C28*Navires!$B$2</f>
        <v>7820</v>
      </c>
      <c r="W28" s="2">
        <f>D28*Navires!$C$2</f>
        <v>11730</v>
      </c>
      <c r="X28" s="2">
        <f>E28*Navires!$D$2</f>
        <v>0</v>
      </c>
      <c r="Y28" s="2">
        <f>F28*Navires!$E$2</f>
        <v>18800</v>
      </c>
      <c r="Z28" s="2">
        <f>G28*Navires!$F$2</f>
        <v>15168</v>
      </c>
      <c r="AA28" s="2">
        <f>H28*Navires!$G$2</f>
        <v>6000</v>
      </c>
      <c r="AB28" s="2">
        <f>I28*Navires!$H$2</f>
        <v>6000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65518</v>
      </c>
      <c r="AM28" s="118" t="s">
        <v>43</v>
      </c>
      <c r="AN28" s="118">
        <f>C28*Navires!$B$6</f>
        <v>2281.6</v>
      </c>
      <c r="AO28" s="118">
        <f>D28*Navires!$C$6</f>
        <v>3422.3999999999996</v>
      </c>
      <c r="AP28" s="118">
        <f>E28*Navires!$D$6</f>
        <v>0</v>
      </c>
      <c r="AQ28" s="118">
        <f>F28*Navires!$E$6</f>
        <v>12280</v>
      </c>
      <c r="AR28" s="118">
        <f>G28*Navires!$F$6</f>
        <v>5446.4000000000005</v>
      </c>
      <c r="AS28" s="118">
        <f>H28*Navires!$G$6</f>
        <v>2040</v>
      </c>
      <c r="AT28" s="118">
        <f>I28*Navires!$H$6</f>
        <v>2040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8253.1200000000008</v>
      </c>
      <c r="BE28" s="118" t="s">
        <v>43</v>
      </c>
      <c r="BF28" s="118">
        <f>C28*Navires!$B$6</f>
        <v>2281.6</v>
      </c>
      <c r="BG28" s="118">
        <f>D28*Navires!$B$6</f>
        <v>3422.3999999999996</v>
      </c>
      <c r="BH28" s="118">
        <f>E28*Navires!$B$6</f>
        <v>0</v>
      </c>
      <c r="BI28" s="118">
        <f>F28*Navires!$B$6</f>
        <v>5704</v>
      </c>
      <c r="BJ28" s="118">
        <f>G28*Navires!$B$6</f>
        <v>4563.2</v>
      </c>
      <c r="BK28" s="118">
        <f>H28*Navires!$B$6</f>
        <v>1711.1999999999998</v>
      </c>
      <c r="BL28" s="118">
        <f>I28*Navires!$B$6</f>
        <v>1711.1999999999998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32969.120000000003</v>
      </c>
    </row>
    <row r="29" spans="1:73" x14ac:dyDescent="0.25">
      <c r="A29" t="s">
        <v>56</v>
      </c>
      <c r="B29" s="2" t="s">
        <v>44</v>
      </c>
      <c r="C29" s="2">
        <v>9</v>
      </c>
      <c r="D29" s="2">
        <v>3</v>
      </c>
      <c r="E29" s="2">
        <v>0</v>
      </c>
      <c r="F29" s="2">
        <v>5</v>
      </c>
      <c r="G29" s="2">
        <v>3</v>
      </c>
      <c r="H29" s="2">
        <v>9</v>
      </c>
      <c r="I29" s="2">
        <v>7</v>
      </c>
      <c r="J29" s="2"/>
      <c r="K29" s="2"/>
      <c r="L29" s="2">
        <v>0</v>
      </c>
      <c r="M29" s="2"/>
      <c r="N29" s="2"/>
      <c r="O29" s="2"/>
      <c r="P29" s="2"/>
      <c r="Q29" s="32"/>
      <c r="R29" s="34">
        <f t="shared" si="6"/>
        <v>36</v>
      </c>
      <c r="S29" s="82">
        <f t="shared" si="7"/>
        <v>8.4112149532710276</v>
      </c>
      <c r="U29" s="2" t="s">
        <v>44</v>
      </c>
      <c r="V29" s="2">
        <f>C29*Navires!$B$2</f>
        <v>17595</v>
      </c>
      <c r="W29" s="2">
        <f>D29*Navires!$C$2</f>
        <v>5865</v>
      </c>
      <c r="X29" s="2">
        <f>E29*Navires!$D$2</f>
        <v>0</v>
      </c>
      <c r="Y29" s="2">
        <f>F29*Navires!$E$2</f>
        <v>9400</v>
      </c>
      <c r="Z29" s="2">
        <f>G29*Navires!$F$2</f>
        <v>5688</v>
      </c>
      <c r="AA29" s="2">
        <f>H29*Navires!$G$2</f>
        <v>18000</v>
      </c>
      <c r="AB29" s="2">
        <f>I29*Navires!$H$2</f>
        <v>14000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70548</v>
      </c>
      <c r="AM29" s="118" t="s">
        <v>44</v>
      </c>
      <c r="AN29" s="118">
        <f>C29*Navires!$B$6</f>
        <v>5133.5999999999995</v>
      </c>
      <c r="AO29" s="118">
        <f>D29*Navires!$C$6</f>
        <v>1711.1999999999998</v>
      </c>
      <c r="AP29" s="118">
        <f>E29*Navires!$D$6</f>
        <v>0</v>
      </c>
      <c r="AQ29" s="118">
        <f>F29*Navires!$E$6</f>
        <v>6140</v>
      </c>
      <c r="AR29" s="118">
        <f>G29*Navires!$F$6</f>
        <v>2042.4</v>
      </c>
      <c r="AS29" s="118">
        <f>H29*Navires!$G$6</f>
        <v>6120</v>
      </c>
      <c r="AT29" s="118">
        <f>I29*Navires!$H$6</f>
        <v>4760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7772.1599999999989</v>
      </c>
      <c r="BE29" s="118" t="s">
        <v>44</v>
      </c>
      <c r="BF29" s="118">
        <f>C29*Navires!$B$6</f>
        <v>5133.5999999999995</v>
      </c>
      <c r="BG29" s="118">
        <f>D29*Navires!$B$6</f>
        <v>1711.1999999999998</v>
      </c>
      <c r="BH29" s="118">
        <f>E29*Navires!$B$6</f>
        <v>0</v>
      </c>
      <c r="BI29" s="118">
        <f>F29*Navires!$B$6</f>
        <v>2852</v>
      </c>
      <c r="BJ29" s="118">
        <f>G29*Navires!$B$6</f>
        <v>1711.1999999999998</v>
      </c>
      <c r="BK29" s="118">
        <f>H29*Navires!$B$6</f>
        <v>5133.5999999999995</v>
      </c>
      <c r="BL29" s="118">
        <f>I29*Navires!$B$6</f>
        <v>3992.7999999999997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34908.479999999996</v>
      </c>
    </row>
    <row r="30" spans="1:73" x14ac:dyDescent="0.25">
      <c r="A30" t="s">
        <v>57</v>
      </c>
      <c r="B30" s="2" t="s">
        <v>45</v>
      </c>
      <c r="C30" s="2">
        <v>3</v>
      </c>
      <c r="D30" s="2">
        <v>1</v>
      </c>
      <c r="E30" s="2">
        <v>0</v>
      </c>
      <c r="F30" s="2">
        <v>3</v>
      </c>
      <c r="G30" s="2">
        <v>6</v>
      </c>
      <c r="H30" s="2">
        <v>8</v>
      </c>
      <c r="I30" s="2">
        <v>12</v>
      </c>
      <c r="J30" s="2"/>
      <c r="K30" s="2"/>
      <c r="L30" s="2">
        <v>0</v>
      </c>
      <c r="M30" s="2"/>
      <c r="N30" s="2"/>
      <c r="O30" s="2"/>
      <c r="P30" s="2"/>
      <c r="Q30" s="32"/>
      <c r="R30" s="34">
        <f t="shared" si="6"/>
        <v>33</v>
      </c>
      <c r="S30" s="82">
        <f t="shared" si="7"/>
        <v>7.4492099322799099</v>
      </c>
      <c r="U30" s="2" t="s">
        <v>45</v>
      </c>
      <c r="V30" s="2">
        <f>C30*Navires!$B$2</f>
        <v>5865</v>
      </c>
      <c r="W30" s="2">
        <f>D30*Navires!$C$2</f>
        <v>1955</v>
      </c>
      <c r="X30" s="2">
        <f>E30*Navires!$D$2</f>
        <v>0</v>
      </c>
      <c r="Y30" s="2">
        <f>F30*Navires!$E$2</f>
        <v>5640</v>
      </c>
      <c r="Z30" s="2">
        <f>G30*Navires!$F$2</f>
        <v>11376</v>
      </c>
      <c r="AA30" s="2">
        <f>H30*Navires!$G$2</f>
        <v>16000</v>
      </c>
      <c r="AB30" s="2">
        <f>I30*Navires!$H$2</f>
        <v>24000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64836</v>
      </c>
      <c r="AM30" s="118" t="s">
        <v>45</v>
      </c>
      <c r="AN30" s="118">
        <f>C30*Navires!$B$6</f>
        <v>1711.1999999999998</v>
      </c>
      <c r="AO30" s="118">
        <f>D30*Navires!$C$6</f>
        <v>570.4</v>
      </c>
      <c r="AP30" s="118">
        <f>E30*Navires!$D$6</f>
        <v>0</v>
      </c>
      <c r="AQ30" s="118">
        <f>F30*Navires!$E$6</f>
        <v>3684</v>
      </c>
      <c r="AR30" s="118">
        <f>G30*Navires!$F$6</f>
        <v>4084.8</v>
      </c>
      <c r="AS30" s="118">
        <f>H30*Navires!$G$6</f>
        <v>5440</v>
      </c>
      <c r="AT30" s="118">
        <f>I30*Navires!$H$6</f>
        <v>8160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11825.2</v>
      </c>
      <c r="BE30" s="118" t="s">
        <v>45</v>
      </c>
      <c r="BF30" s="118">
        <f>C30*Navires!$B$6</f>
        <v>1711.1999999999998</v>
      </c>
      <c r="BG30" s="118">
        <f>D30*Navires!$B$6</f>
        <v>570.4</v>
      </c>
      <c r="BH30" s="118">
        <f>E30*Navires!$B$6</f>
        <v>0</v>
      </c>
      <c r="BI30" s="118">
        <f>F30*Navires!$B$6</f>
        <v>1711.1999999999998</v>
      </c>
      <c r="BJ30" s="118">
        <f>G30*Navires!$B$6</f>
        <v>3422.3999999999996</v>
      </c>
      <c r="BK30" s="118">
        <f>H30*Navires!$B$6</f>
        <v>4563.2</v>
      </c>
      <c r="BL30" s="118">
        <f>I30*Navires!$B$6</f>
        <v>6844.7999999999993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31999.439999999995</v>
      </c>
    </row>
    <row r="31" spans="1:73" x14ac:dyDescent="0.25">
      <c r="A31" t="s">
        <v>58</v>
      </c>
      <c r="B31" s="2" t="s">
        <v>46</v>
      </c>
      <c r="C31" s="2">
        <v>2</v>
      </c>
      <c r="D31" s="2">
        <v>3</v>
      </c>
      <c r="E31" s="2">
        <v>0</v>
      </c>
      <c r="F31" s="2">
        <v>12</v>
      </c>
      <c r="G31" s="2">
        <v>10</v>
      </c>
      <c r="H31" s="2">
        <v>2</v>
      </c>
      <c r="I31" s="2">
        <v>1</v>
      </c>
      <c r="J31" s="2"/>
      <c r="K31" s="2"/>
      <c r="L31" s="2">
        <v>0</v>
      </c>
      <c r="M31" s="2"/>
      <c r="N31" s="2"/>
      <c r="O31" s="2"/>
      <c r="P31" s="2"/>
      <c r="Q31" s="32"/>
      <c r="R31" s="34">
        <f t="shared" si="6"/>
        <v>30</v>
      </c>
      <c r="S31" s="82">
        <f t="shared" si="7"/>
        <v>7.009345794392523</v>
      </c>
      <c r="U31" s="2" t="s">
        <v>46</v>
      </c>
      <c r="V31" s="2">
        <f>C31*Navires!$B$2</f>
        <v>3910</v>
      </c>
      <c r="W31" s="2">
        <f>D31*Navires!$C$2</f>
        <v>5865</v>
      </c>
      <c r="X31" s="2">
        <f>E31*Navires!$D$2</f>
        <v>0</v>
      </c>
      <c r="Y31" s="2">
        <f>F31*Navires!$E$2</f>
        <v>22560</v>
      </c>
      <c r="Z31" s="2">
        <f>G31*Navires!$F$2</f>
        <v>18960</v>
      </c>
      <c r="AA31" s="2">
        <f>H31*Navires!$G$2</f>
        <v>4000</v>
      </c>
      <c r="AB31" s="2">
        <f>I31*Navires!$H$2</f>
        <v>2000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57295</v>
      </c>
      <c r="AM31" s="118" t="s">
        <v>46</v>
      </c>
      <c r="AN31" s="118">
        <f>C31*Navires!$B$6</f>
        <v>1140.8</v>
      </c>
      <c r="AO31" s="118">
        <f>D31*Navires!$C$6</f>
        <v>1711.1999999999998</v>
      </c>
      <c r="AP31" s="118">
        <f>E31*Navires!$D$6</f>
        <v>0</v>
      </c>
      <c r="AQ31" s="118">
        <f>F31*Navires!$E$6</f>
        <v>14736</v>
      </c>
      <c r="AR31" s="118">
        <f>G31*Navires!$F$6</f>
        <v>6808.0000000000009</v>
      </c>
      <c r="AS31" s="118">
        <f>H31*Navires!$G$6</f>
        <v>1360</v>
      </c>
      <c r="AT31" s="118">
        <f>I31*Navires!$H$6</f>
        <v>680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13218</v>
      </c>
      <c r="BE31" s="118" t="s">
        <v>46</v>
      </c>
      <c r="BF31" s="118">
        <f>C31*Navires!$B$6</f>
        <v>1140.8</v>
      </c>
      <c r="BG31" s="118">
        <f>D31*Navires!$B$6</f>
        <v>1711.1999999999998</v>
      </c>
      <c r="BH31" s="118">
        <f>E31*Navires!$B$6</f>
        <v>0</v>
      </c>
      <c r="BI31" s="118">
        <f>F31*Navires!$B$6</f>
        <v>6844.7999999999993</v>
      </c>
      <c r="BJ31" s="118">
        <f>G31*Navires!$B$6</f>
        <v>5704</v>
      </c>
      <c r="BK31" s="118">
        <f>H31*Navires!$B$6</f>
        <v>1140.8</v>
      </c>
      <c r="BL31" s="118">
        <f>I31*Navires!$B$6</f>
        <v>570.4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11978.4</v>
      </c>
    </row>
    <row r="32" spans="1:73" x14ac:dyDescent="0.25">
      <c r="A32" t="s">
        <v>59</v>
      </c>
      <c r="B32" s="2" t="s">
        <v>47</v>
      </c>
      <c r="C32" s="2">
        <v>1</v>
      </c>
      <c r="D32" s="2">
        <v>1</v>
      </c>
      <c r="E32" s="2">
        <v>1</v>
      </c>
      <c r="F32" s="2">
        <v>6</v>
      </c>
      <c r="G32" s="2">
        <v>6</v>
      </c>
      <c r="H32" s="2">
        <v>9</v>
      </c>
      <c r="I32" s="2">
        <v>7</v>
      </c>
      <c r="J32" s="2"/>
      <c r="K32" s="2"/>
      <c r="L32" s="2">
        <v>0</v>
      </c>
      <c r="M32" s="2"/>
      <c r="N32" s="2"/>
      <c r="O32" s="2"/>
      <c r="P32" s="2"/>
      <c r="Q32" s="32"/>
      <c r="R32" s="34">
        <f t="shared" si="6"/>
        <v>31</v>
      </c>
      <c r="S32" s="82">
        <f t="shared" si="7"/>
        <v>6.9977426636568856</v>
      </c>
      <c r="U32" s="2" t="s">
        <v>47</v>
      </c>
      <c r="V32" s="2">
        <f>C32*Navires!$B$2</f>
        <v>1955</v>
      </c>
      <c r="W32" s="2">
        <f>D32*Navires!$C$2</f>
        <v>1955</v>
      </c>
      <c r="X32" s="2">
        <f>E32*Navires!$D$2</f>
        <v>2106</v>
      </c>
      <c r="Y32" s="2">
        <f>F32*Navires!$E$2</f>
        <v>11280</v>
      </c>
      <c r="Z32" s="2">
        <f>G32*Navires!$F$2</f>
        <v>11376</v>
      </c>
      <c r="AA32" s="2">
        <f>H32*Navires!$G$2</f>
        <v>18000</v>
      </c>
      <c r="AB32" s="2">
        <f>I32*Navires!$H$2</f>
        <v>14000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60672</v>
      </c>
      <c r="AM32" s="118" t="s">
        <v>47</v>
      </c>
      <c r="AN32" s="118">
        <f>C32*Navires!$B$6</f>
        <v>570.4</v>
      </c>
      <c r="AO32" s="118">
        <f>D32*Navires!$C$6</f>
        <v>570.4</v>
      </c>
      <c r="AP32" s="118">
        <f>E32*Navires!$D$6</f>
        <v>800</v>
      </c>
      <c r="AQ32" s="118">
        <f>F32*Navires!$E$6</f>
        <v>7368</v>
      </c>
      <c r="AR32" s="118">
        <f>G32*Navires!$F$6</f>
        <v>4084.8</v>
      </c>
      <c r="AS32" s="118">
        <f>H32*Navires!$G$6</f>
        <v>6120</v>
      </c>
      <c r="AT32" s="118">
        <f>I32*Navires!$H$6</f>
        <v>4760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12136.8</v>
      </c>
      <c r="BE32" s="118" t="s">
        <v>47</v>
      </c>
      <c r="BF32" s="118">
        <f>C32*Navires!$B$6</f>
        <v>570.4</v>
      </c>
      <c r="BG32" s="118">
        <f>D32*Navires!$B$6</f>
        <v>570.4</v>
      </c>
      <c r="BH32" s="118">
        <f>E32*Navires!$B$6</f>
        <v>570.4</v>
      </c>
      <c r="BI32" s="118">
        <f>F32*Navires!$B$6</f>
        <v>3422.3999999999996</v>
      </c>
      <c r="BJ32" s="118">
        <f>G32*Navires!$B$6</f>
        <v>3422.3999999999996</v>
      </c>
      <c r="BK32" s="118">
        <f>H32*Navires!$B$6</f>
        <v>5133.5999999999995</v>
      </c>
      <c r="BL32" s="118">
        <f>I32*Navires!$B$6</f>
        <v>3992.7999999999997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12377.679999999998</v>
      </c>
    </row>
    <row r="33" spans="1:73" x14ac:dyDescent="0.25">
      <c r="A33" s="30"/>
      <c r="B33" s="34" t="s">
        <v>60</v>
      </c>
      <c r="C33" s="34">
        <f>SUM(C21:C32)</f>
        <v>69</v>
      </c>
      <c r="D33" s="34">
        <f t="shared" ref="D33:E33" si="8">SUM(D21:D32)</f>
        <v>56</v>
      </c>
      <c r="E33" s="34">
        <f t="shared" si="8"/>
        <v>3</v>
      </c>
      <c r="F33" s="34">
        <f>SUM(F21:F32)</f>
        <v>80</v>
      </c>
      <c r="G33" s="34">
        <f>SUM(G21:G32)</f>
        <v>66</v>
      </c>
      <c r="H33" s="34">
        <f t="shared" ref="H33:Q33" si="9">SUM(H21:H32)</f>
        <v>64</v>
      </c>
      <c r="I33" s="34">
        <f t="shared" si="9"/>
        <v>63</v>
      </c>
      <c r="J33" s="34">
        <f t="shared" si="9"/>
        <v>0</v>
      </c>
      <c r="K33" s="34">
        <f t="shared" si="9"/>
        <v>0</v>
      </c>
      <c r="L33" s="34">
        <f t="shared" si="9"/>
        <v>1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402</v>
      </c>
      <c r="S33" s="82">
        <f t="shared" si="7"/>
        <v>7.7114905045079603</v>
      </c>
      <c r="U33" s="34" t="s">
        <v>60</v>
      </c>
      <c r="V33" s="34">
        <f>SUM(V21:V32)</f>
        <v>134895</v>
      </c>
      <c r="W33" s="34">
        <f t="shared" ref="W33:AJ33" si="10">SUM(W21:W32)</f>
        <v>109480</v>
      </c>
      <c r="X33" s="34">
        <f t="shared" si="10"/>
        <v>6318</v>
      </c>
      <c r="Y33" s="34">
        <f t="shared" si="10"/>
        <v>150400</v>
      </c>
      <c r="Z33" s="34">
        <f t="shared" si="10"/>
        <v>125136</v>
      </c>
      <c r="AA33" s="34">
        <f t="shared" si="10"/>
        <v>128000</v>
      </c>
      <c r="AB33" s="34">
        <f t="shared" si="10"/>
        <v>126000</v>
      </c>
      <c r="AC33" s="34">
        <f t="shared" si="10"/>
        <v>0</v>
      </c>
      <c r="AD33" s="34">
        <f t="shared" si="10"/>
        <v>0</v>
      </c>
      <c r="AE33" s="34">
        <f t="shared" si="10"/>
        <v>1500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39357.599999999999</v>
      </c>
      <c r="AO33" s="34">
        <f t="shared" ref="AO33:BB33" si="11">SUM(AO21:AO32)</f>
        <v>31942.400000000001</v>
      </c>
      <c r="AP33" s="34">
        <f t="shared" si="11"/>
        <v>2400</v>
      </c>
      <c r="AQ33" s="34">
        <f t="shared" si="11"/>
        <v>98240</v>
      </c>
      <c r="AR33" s="34">
        <f t="shared" si="11"/>
        <v>44932.80000000001</v>
      </c>
      <c r="AS33" s="34">
        <f t="shared" si="11"/>
        <v>43520</v>
      </c>
      <c r="AT33" s="34">
        <f t="shared" si="11"/>
        <v>42840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39357.599999999999</v>
      </c>
      <c r="BG33" s="118">
        <f>D33*Navires!$B$6</f>
        <v>31942.399999999998</v>
      </c>
      <c r="BH33" s="118">
        <f>E33*Navires!$B$6</f>
        <v>1711.1999999999998</v>
      </c>
      <c r="BI33" s="118">
        <f>F33*Navires!$B$6</f>
        <v>45632</v>
      </c>
      <c r="BJ33" s="118">
        <f>G33*Navires!$B$6</f>
        <v>37646.400000000001</v>
      </c>
      <c r="BK33" s="118">
        <f>H33*Navires!$B$6</f>
        <v>36505.599999999999</v>
      </c>
      <c r="BL33" s="118">
        <f>I33*Navires!$B$6</f>
        <v>35935.199999999997</v>
      </c>
      <c r="BM33" s="118">
        <f>J33*Navires!$B$6</f>
        <v>0</v>
      </c>
      <c r="BN33" s="118">
        <f>K33*Navires!$B$6</f>
        <v>0</v>
      </c>
      <c r="BO33" s="118">
        <f>L33*Navires!$B$6</f>
        <v>570.4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F16" workbookViewId="0">
      <selection activeCell="BU16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/>
      <c r="K4" s="2"/>
      <c r="L4" s="2"/>
      <c r="M4" s="2"/>
      <c r="N4" s="2"/>
      <c r="O4" s="2"/>
      <c r="P4" s="2"/>
      <c r="Q4" s="32"/>
      <c r="R4" s="34">
        <f>SUM(C4:Q4)</f>
        <v>0</v>
      </c>
      <c r="S4" s="82">
        <f>R4/R36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t="s">
        <v>49</v>
      </c>
      <c r="B5" s="2" t="s">
        <v>37</v>
      </c>
      <c r="C5" s="2">
        <v>0</v>
      </c>
      <c r="D5" s="2">
        <v>0</v>
      </c>
      <c r="E5">
        <v>0</v>
      </c>
      <c r="F5" s="2">
        <v>0</v>
      </c>
      <c r="G5" s="2">
        <v>0</v>
      </c>
      <c r="H5" s="2">
        <v>0</v>
      </c>
      <c r="I5" s="2">
        <v>0</v>
      </c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0</v>
      </c>
      <c r="S5" s="82">
        <f t="shared" ref="S5:S16" si="1">R5/R37</f>
        <v>0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0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0</v>
      </c>
    </row>
    <row r="6" spans="1:73" x14ac:dyDescent="0.25">
      <c r="A6" t="s">
        <v>50</v>
      </c>
      <c r="B6" s="2" t="s">
        <v>38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/>
      <c r="K6" s="2"/>
      <c r="L6" s="2"/>
      <c r="M6" s="2"/>
      <c r="N6" s="2"/>
      <c r="O6" s="2"/>
      <c r="P6" s="2"/>
      <c r="Q6" s="32"/>
      <c r="R6" s="34">
        <f t="shared" si="0"/>
        <v>0</v>
      </c>
      <c r="S6" s="82">
        <f t="shared" si="1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>
        <v>1</v>
      </c>
      <c r="D7" s="2">
        <v>2</v>
      </c>
      <c r="E7" s="2">
        <v>0</v>
      </c>
      <c r="F7" s="2">
        <v>1</v>
      </c>
      <c r="G7" s="2">
        <v>0</v>
      </c>
      <c r="H7" s="2">
        <v>3</v>
      </c>
      <c r="I7" s="2">
        <v>2</v>
      </c>
      <c r="J7" s="2"/>
      <c r="K7" s="2"/>
      <c r="L7" s="2"/>
      <c r="M7" s="2"/>
      <c r="N7" s="2"/>
      <c r="O7" s="2"/>
      <c r="P7" s="2"/>
      <c r="Q7" s="32"/>
      <c r="R7" s="34">
        <f t="shared" si="0"/>
        <v>9</v>
      </c>
      <c r="S7" s="82">
        <f t="shared" si="1"/>
        <v>2.1028037383177569</v>
      </c>
      <c r="U7" s="2" t="s">
        <v>39</v>
      </c>
      <c r="V7" s="2">
        <f>C7*Navires!$B$2</f>
        <v>1955</v>
      </c>
      <c r="W7" s="2">
        <f>D7*Navires!$C$2</f>
        <v>3910</v>
      </c>
      <c r="X7" s="2">
        <f>E7*Navires!$D$2</f>
        <v>0</v>
      </c>
      <c r="Y7" s="2">
        <f>F7*Navires!$E$2</f>
        <v>1880</v>
      </c>
      <c r="Z7" s="2">
        <f>G7*Navires!$F$2</f>
        <v>0</v>
      </c>
      <c r="AA7" s="2">
        <f>H7*Navires!$G$2</f>
        <v>6000</v>
      </c>
      <c r="AB7" s="2">
        <f>I7*Navires!$H$2</f>
        <v>4000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17745</v>
      </c>
      <c r="AM7" s="118" t="s">
        <v>39</v>
      </c>
      <c r="AN7" s="118">
        <f>C7*Navires!$B$6</f>
        <v>570.4</v>
      </c>
      <c r="AO7" s="118">
        <f>D7*Navires!$C$6</f>
        <v>1140.8</v>
      </c>
      <c r="AP7" s="118">
        <f>E7*Navires!$D$6</f>
        <v>0</v>
      </c>
      <c r="AQ7" s="118">
        <f>F7*Navires!$E$6</f>
        <v>1228</v>
      </c>
      <c r="AR7" s="118">
        <f>G7*Navires!$F$6</f>
        <v>0</v>
      </c>
      <c r="AS7" s="118">
        <f>H7*Navires!$G$6</f>
        <v>2040</v>
      </c>
      <c r="AT7" s="118">
        <f>I7*Navires!$H$6</f>
        <v>1360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3169.6</v>
      </c>
      <c r="BE7" s="118" t="s">
        <v>39</v>
      </c>
      <c r="BF7" s="118">
        <f>C7*Navires!$B$6</f>
        <v>570.4</v>
      </c>
      <c r="BG7" s="118">
        <f>D7*Navires!$B$6</f>
        <v>1140.8</v>
      </c>
      <c r="BH7" s="118">
        <f>E7*Navires!$B$6</f>
        <v>0</v>
      </c>
      <c r="BI7" s="118">
        <f>F7*Navires!$B$6</f>
        <v>570.4</v>
      </c>
      <c r="BJ7" s="118">
        <f>G7*Navires!$B$6</f>
        <v>0</v>
      </c>
      <c r="BK7" s="118">
        <f>H7*Navires!$B$6</f>
        <v>1711.1999999999998</v>
      </c>
      <c r="BL7" s="118">
        <f>I7*Navires!$B$6</f>
        <v>1140.8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8727.119999999999</v>
      </c>
    </row>
    <row r="8" spans="1:73" x14ac:dyDescent="0.25">
      <c r="A8" t="s">
        <v>52</v>
      </c>
      <c r="B8" s="2" t="s">
        <v>40</v>
      </c>
      <c r="C8" s="2">
        <v>2</v>
      </c>
      <c r="D8" s="2">
        <v>2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/>
      <c r="K8" s="2"/>
      <c r="L8" s="2"/>
      <c r="M8" s="2"/>
      <c r="N8" s="2"/>
      <c r="O8" s="2"/>
      <c r="P8" s="2"/>
      <c r="Q8" s="32"/>
      <c r="R8" s="34">
        <f t="shared" si="0"/>
        <v>6</v>
      </c>
      <c r="S8" s="82">
        <f t="shared" si="1"/>
        <v>1.3544018058690745</v>
      </c>
      <c r="U8" s="2" t="s">
        <v>40</v>
      </c>
      <c r="V8" s="2">
        <f>C8*Navires!$B$2</f>
        <v>3910</v>
      </c>
      <c r="W8" s="2">
        <f>D8*Navires!$C$2</f>
        <v>3910</v>
      </c>
      <c r="X8" s="2">
        <f>E8*Navires!$D$2</f>
        <v>0</v>
      </c>
      <c r="Y8" s="2">
        <f>F8*Navires!$E$2</f>
        <v>1880</v>
      </c>
      <c r="Z8" s="2">
        <f>G8*Navires!$F$2</f>
        <v>0</v>
      </c>
      <c r="AA8" s="2">
        <f>H8*Navires!$G$2</f>
        <v>0</v>
      </c>
      <c r="AB8" s="2">
        <f>I8*Navires!$H$2</f>
        <v>2000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11700</v>
      </c>
      <c r="AM8" s="118" t="s">
        <v>40</v>
      </c>
      <c r="AN8" s="118">
        <f>C8*Navires!$B$6</f>
        <v>1140.8</v>
      </c>
      <c r="AO8" s="118">
        <f>D8*Navires!$C$6</f>
        <v>1140.8</v>
      </c>
      <c r="AP8" s="118">
        <f>E8*Navires!$D$6</f>
        <v>0</v>
      </c>
      <c r="AQ8" s="118">
        <f>F8*Navires!$E$6</f>
        <v>1228</v>
      </c>
      <c r="AR8" s="118">
        <f>G8*Navires!$F$6</f>
        <v>0</v>
      </c>
      <c r="AS8" s="118">
        <f>H8*Navires!$G$6</f>
        <v>0</v>
      </c>
      <c r="AT8" s="118">
        <f>I8*Navires!$H$6</f>
        <v>680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1256.8800000000001</v>
      </c>
      <c r="BE8" s="118" t="s">
        <v>40</v>
      </c>
      <c r="BF8" s="118">
        <f>C8*Navires!$B$6</f>
        <v>1140.8</v>
      </c>
      <c r="BG8" s="118">
        <f>D8*Navires!$B$6</f>
        <v>1140.8</v>
      </c>
      <c r="BH8" s="118">
        <f>E8*Navires!$B$6</f>
        <v>0</v>
      </c>
      <c r="BI8" s="118">
        <f>F8*Navires!$B$6</f>
        <v>570.4</v>
      </c>
      <c r="BJ8" s="118">
        <f>G8*Navires!$B$6</f>
        <v>0</v>
      </c>
      <c r="BK8" s="118">
        <f>H8*Navires!$B$6</f>
        <v>0</v>
      </c>
      <c r="BL8" s="118">
        <f>I8*Navires!$B$6</f>
        <v>570.4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5818.08</v>
      </c>
    </row>
    <row r="9" spans="1:73" x14ac:dyDescent="0.25">
      <c r="A9" t="s">
        <v>53</v>
      </c>
      <c r="B9" s="2" t="s">
        <v>41</v>
      </c>
      <c r="C9" s="2">
        <v>4</v>
      </c>
      <c r="D9" s="2">
        <v>2</v>
      </c>
      <c r="E9" s="2">
        <v>0</v>
      </c>
      <c r="F9" s="2">
        <v>5</v>
      </c>
      <c r="G9" s="2">
        <v>1</v>
      </c>
      <c r="H9" s="2">
        <v>0</v>
      </c>
      <c r="I9" s="2">
        <v>1</v>
      </c>
      <c r="J9" s="2"/>
      <c r="K9" s="2"/>
      <c r="L9" s="2"/>
      <c r="M9" s="2"/>
      <c r="N9" s="2"/>
      <c r="O9" s="2"/>
      <c r="P9" s="2"/>
      <c r="Q9" s="32"/>
      <c r="R9" s="34">
        <f t="shared" si="0"/>
        <v>13</v>
      </c>
      <c r="S9" s="82">
        <f t="shared" si="1"/>
        <v>3.0373831775700935</v>
      </c>
      <c r="U9" s="2" t="s">
        <v>41</v>
      </c>
      <c r="V9" s="2">
        <f>C9*Navires!$B$2</f>
        <v>7820</v>
      </c>
      <c r="W9" s="2">
        <f>D9*Navires!$C$2</f>
        <v>3910</v>
      </c>
      <c r="X9" s="2">
        <f>E9*Navires!$D$2</f>
        <v>0</v>
      </c>
      <c r="Y9" s="2">
        <f>F9*Navires!$E$2</f>
        <v>9400</v>
      </c>
      <c r="Z9" s="2">
        <f>G9*Navires!$F$2</f>
        <v>1896</v>
      </c>
      <c r="AA9" s="2">
        <f>H9*Navires!$G$2</f>
        <v>0</v>
      </c>
      <c r="AB9" s="2">
        <f>I9*Navires!$H$2</f>
        <v>2000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25026</v>
      </c>
      <c r="AM9" s="118" t="s">
        <v>41</v>
      </c>
      <c r="AN9" s="118">
        <f>C9*Navires!$B$6</f>
        <v>2281.6</v>
      </c>
      <c r="AO9" s="118">
        <f>D9*Navires!$C$6</f>
        <v>1140.8</v>
      </c>
      <c r="AP9" s="118">
        <f>E9*Navires!$D$6</f>
        <v>0</v>
      </c>
      <c r="AQ9" s="118">
        <f>F9*Navires!$E$6</f>
        <v>6140</v>
      </c>
      <c r="AR9" s="118">
        <f>G9*Navires!$F$6</f>
        <v>680.80000000000007</v>
      </c>
      <c r="AS9" s="118">
        <f>H9*Navires!$G$6</f>
        <v>0</v>
      </c>
      <c r="AT9" s="118">
        <f>I9*Navires!$H$6</f>
        <v>680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3276.9599999999996</v>
      </c>
      <c r="BE9" s="118" t="s">
        <v>41</v>
      </c>
      <c r="BF9" s="118">
        <f>C9*Navires!$B$6</f>
        <v>2281.6</v>
      </c>
      <c r="BG9" s="118">
        <f>D9*Navires!$B$6</f>
        <v>1140.8</v>
      </c>
      <c r="BH9" s="118">
        <f>E9*Navires!$B$6</f>
        <v>0</v>
      </c>
      <c r="BI9" s="118">
        <f>F9*Navires!$B$6</f>
        <v>2852</v>
      </c>
      <c r="BJ9" s="118">
        <f>G9*Navires!$B$6</f>
        <v>570.4</v>
      </c>
      <c r="BK9" s="118">
        <f>H9*Navires!$B$6</f>
        <v>0</v>
      </c>
      <c r="BL9" s="118">
        <f>I9*Navires!$B$6</f>
        <v>570.4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12605.839999999998</v>
      </c>
    </row>
    <row r="10" spans="1:73" x14ac:dyDescent="0.25">
      <c r="A10" t="s">
        <v>54</v>
      </c>
      <c r="B10" s="2" t="s">
        <v>42</v>
      </c>
      <c r="C10" s="2">
        <v>5</v>
      </c>
      <c r="D10" s="2">
        <v>6</v>
      </c>
      <c r="E10" s="2">
        <v>0</v>
      </c>
      <c r="F10" s="2">
        <v>7</v>
      </c>
      <c r="G10" s="2">
        <v>4</v>
      </c>
      <c r="H10" s="2">
        <v>3</v>
      </c>
      <c r="I10" s="2">
        <v>5</v>
      </c>
      <c r="J10" s="2"/>
      <c r="K10" s="2"/>
      <c r="L10" s="2"/>
      <c r="M10" s="2"/>
      <c r="N10" s="2"/>
      <c r="O10" s="2"/>
      <c r="P10" s="2"/>
      <c r="Q10" s="32"/>
      <c r="R10" s="34">
        <f t="shared" si="0"/>
        <v>30</v>
      </c>
      <c r="S10" s="82">
        <f t="shared" si="1"/>
        <v>6.772009029345373</v>
      </c>
      <c r="U10" s="2" t="s">
        <v>42</v>
      </c>
      <c r="V10" s="2">
        <f>C10*Navires!$B$2</f>
        <v>9775</v>
      </c>
      <c r="W10" s="2">
        <f>D10*Navires!$C$2</f>
        <v>11730</v>
      </c>
      <c r="X10" s="2">
        <f>E10*Navires!$D$2</f>
        <v>0</v>
      </c>
      <c r="Y10" s="2">
        <f>F10*Navires!$E$2</f>
        <v>13160</v>
      </c>
      <c r="Z10" s="2">
        <f>G10*Navires!$F$2</f>
        <v>7584</v>
      </c>
      <c r="AA10" s="2">
        <f>H10*Navires!$G$2</f>
        <v>6000</v>
      </c>
      <c r="AB10" s="2">
        <f>I10*Navires!$H$2</f>
        <v>10000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58249</v>
      </c>
      <c r="AM10" s="118" t="s">
        <v>42</v>
      </c>
      <c r="AN10" s="118">
        <f>C10*Navires!$B$6</f>
        <v>2852</v>
      </c>
      <c r="AO10" s="118">
        <f>D10*Navires!$C$6</f>
        <v>3422.3999999999996</v>
      </c>
      <c r="AP10" s="118">
        <f>E10*Navires!$D$6</f>
        <v>0</v>
      </c>
      <c r="AQ10" s="118">
        <f>F10*Navires!$E$6</f>
        <v>8596</v>
      </c>
      <c r="AR10" s="118">
        <f>G10*Navires!$F$6</f>
        <v>2723.2000000000003</v>
      </c>
      <c r="AS10" s="118">
        <f>H10*Navires!$G$6</f>
        <v>2040</v>
      </c>
      <c r="AT10" s="118">
        <f>I10*Navires!$H$6</f>
        <v>3400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6910.079999999999</v>
      </c>
      <c r="BE10" s="118" t="s">
        <v>42</v>
      </c>
      <c r="BF10" s="118">
        <f>C10*Navires!$B$6</f>
        <v>2852</v>
      </c>
      <c r="BG10" s="118">
        <f>D10*Navires!$B$6</f>
        <v>3422.3999999999996</v>
      </c>
      <c r="BH10" s="118">
        <f>E10*Navires!$B$6</f>
        <v>0</v>
      </c>
      <c r="BI10" s="118">
        <f>F10*Navires!$B$6</f>
        <v>3992.7999999999997</v>
      </c>
      <c r="BJ10" s="118">
        <f>G10*Navires!$B$6</f>
        <v>2281.6</v>
      </c>
      <c r="BK10" s="118">
        <f>H10*Navires!$B$6</f>
        <v>1711.1999999999998</v>
      </c>
      <c r="BL10" s="118">
        <f>I10*Navires!$B$6</f>
        <v>2852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29090.399999999998</v>
      </c>
    </row>
    <row r="11" spans="1:73" x14ac:dyDescent="0.25">
      <c r="A11" t="s">
        <v>55</v>
      </c>
      <c r="B11" s="2" t="s">
        <v>43</v>
      </c>
      <c r="C11" s="2">
        <v>3</v>
      </c>
      <c r="D11" s="2">
        <v>3</v>
      </c>
      <c r="E11" s="2">
        <v>0</v>
      </c>
      <c r="F11" s="2">
        <v>10</v>
      </c>
      <c r="G11" s="2">
        <v>8</v>
      </c>
      <c r="H11" s="2">
        <v>3</v>
      </c>
      <c r="I11" s="2">
        <v>2</v>
      </c>
      <c r="J11" s="2"/>
      <c r="K11" s="2"/>
      <c r="L11" s="2"/>
      <c r="M11" s="2"/>
      <c r="N11" s="2"/>
      <c r="O11" s="2"/>
      <c r="P11" s="2"/>
      <c r="Q11" s="32"/>
      <c r="R11" s="34">
        <f t="shared" si="0"/>
        <v>29</v>
      </c>
      <c r="S11" s="82">
        <f t="shared" si="1"/>
        <v>6.5462753950338604</v>
      </c>
      <c r="U11" s="2" t="s">
        <v>43</v>
      </c>
      <c r="V11" s="2">
        <f>C11*Navires!$B$2</f>
        <v>5865</v>
      </c>
      <c r="W11" s="2">
        <f>D11*Navires!$C$2</f>
        <v>5865</v>
      </c>
      <c r="X11" s="2">
        <f>E11*Navires!$D$2</f>
        <v>0</v>
      </c>
      <c r="Y11" s="2">
        <f>F11*Navires!$E$2</f>
        <v>18800</v>
      </c>
      <c r="Z11" s="2">
        <f>G11*Navires!$F$2</f>
        <v>15168</v>
      </c>
      <c r="AA11" s="2">
        <f>H11*Navires!$G$2</f>
        <v>6000</v>
      </c>
      <c r="AB11" s="2">
        <f>I11*Navires!$H$2</f>
        <v>4000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55698</v>
      </c>
      <c r="AM11" s="118" t="s">
        <v>43</v>
      </c>
      <c r="AN11" s="118">
        <f>C11*Navires!$B$6</f>
        <v>1711.1999999999998</v>
      </c>
      <c r="AO11" s="118">
        <f>D11*Navires!$C$6</f>
        <v>1711.1999999999998</v>
      </c>
      <c r="AP11" s="118">
        <f>E11*Navires!$D$6</f>
        <v>0</v>
      </c>
      <c r="AQ11" s="118">
        <f>F11*Navires!$E$6</f>
        <v>12280</v>
      </c>
      <c r="AR11" s="118">
        <f>G11*Navires!$F$6</f>
        <v>5446.4000000000005</v>
      </c>
      <c r="AS11" s="118">
        <f>H11*Navires!$G$6</f>
        <v>2040</v>
      </c>
      <c r="AT11" s="118">
        <f>I11*Navires!$H$6</f>
        <v>1360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7364.6399999999994</v>
      </c>
      <c r="BE11" s="118" t="s">
        <v>43</v>
      </c>
      <c r="BF11" s="118">
        <f>C11*Navires!$B$6</f>
        <v>1711.1999999999998</v>
      </c>
      <c r="BG11" s="118">
        <f>D11*Navires!$B$6</f>
        <v>1711.1999999999998</v>
      </c>
      <c r="BH11" s="118">
        <f>E11*Navires!$B$6</f>
        <v>0</v>
      </c>
      <c r="BI11" s="118">
        <f>F11*Navires!$B$6</f>
        <v>5704</v>
      </c>
      <c r="BJ11" s="118">
        <f>G11*Navires!$B$6</f>
        <v>4563.2</v>
      </c>
      <c r="BK11" s="118">
        <f>H11*Navires!$B$6</f>
        <v>1711.1999999999998</v>
      </c>
      <c r="BL11" s="118">
        <f>I11*Navires!$B$6</f>
        <v>1140.8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28120.719999999998</v>
      </c>
    </row>
    <row r="12" spans="1:73" x14ac:dyDescent="0.25">
      <c r="A12" t="s">
        <v>56</v>
      </c>
      <c r="B12" s="2" t="s">
        <v>44</v>
      </c>
      <c r="C12" s="2">
        <v>6</v>
      </c>
      <c r="D12" s="2">
        <v>3</v>
      </c>
      <c r="E12" s="2">
        <v>0</v>
      </c>
      <c r="F12" s="2">
        <v>3</v>
      </c>
      <c r="G12" s="2">
        <v>1</v>
      </c>
      <c r="H12" s="2">
        <v>2</v>
      </c>
      <c r="I12" s="2">
        <v>1</v>
      </c>
      <c r="J12" s="2"/>
      <c r="K12" s="2"/>
      <c r="L12" s="2"/>
      <c r="M12" s="2"/>
      <c r="N12" s="2"/>
      <c r="O12" s="2"/>
      <c r="P12" s="2"/>
      <c r="Q12" s="32"/>
      <c r="R12" s="34">
        <f t="shared" si="0"/>
        <v>16</v>
      </c>
      <c r="S12" s="82">
        <f t="shared" si="1"/>
        <v>3.7383177570093458</v>
      </c>
      <c r="U12" s="2" t="s">
        <v>44</v>
      </c>
      <c r="V12" s="2">
        <f>C12*Navires!$B$2</f>
        <v>11730</v>
      </c>
      <c r="W12" s="2">
        <f>D12*Navires!$C$2</f>
        <v>5865</v>
      </c>
      <c r="X12" s="2">
        <f>E12*Navires!$D$2</f>
        <v>0</v>
      </c>
      <c r="Y12" s="2">
        <f>F12*Navires!$E$2</f>
        <v>5640</v>
      </c>
      <c r="Z12" s="2">
        <f>G12*Navires!$F$2</f>
        <v>1896</v>
      </c>
      <c r="AA12" s="2">
        <f>H12*Navires!$G$2</f>
        <v>4000</v>
      </c>
      <c r="AB12" s="2">
        <f>I12*Navires!$H$2</f>
        <v>2000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31131</v>
      </c>
      <c r="AM12" s="118" t="s">
        <v>44</v>
      </c>
      <c r="AN12" s="118">
        <f>C12*Navires!$B$6</f>
        <v>3422.3999999999996</v>
      </c>
      <c r="AO12" s="118">
        <f>D12*Navires!$C$6</f>
        <v>1711.1999999999998</v>
      </c>
      <c r="AP12" s="118">
        <f>E12*Navires!$D$6</f>
        <v>0</v>
      </c>
      <c r="AQ12" s="118">
        <f>F12*Navires!$E$6</f>
        <v>3684</v>
      </c>
      <c r="AR12" s="118">
        <f>G12*Navires!$F$6</f>
        <v>680.80000000000007</v>
      </c>
      <c r="AS12" s="118">
        <f>H12*Navires!$G$6</f>
        <v>1360</v>
      </c>
      <c r="AT12" s="118">
        <f>I12*Navires!$H$6</f>
        <v>680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3461.5199999999991</v>
      </c>
      <c r="BE12" s="118" t="s">
        <v>44</v>
      </c>
      <c r="BF12" s="118">
        <f>C12*Navires!$B$6</f>
        <v>3422.3999999999996</v>
      </c>
      <c r="BG12" s="118">
        <f>D12*Navires!$B$6</f>
        <v>1711.1999999999998</v>
      </c>
      <c r="BH12" s="118">
        <f>E12*Navires!$B$6</f>
        <v>0</v>
      </c>
      <c r="BI12" s="118">
        <f>F12*Navires!$B$6</f>
        <v>1711.1999999999998</v>
      </c>
      <c r="BJ12" s="118">
        <f>G12*Navires!$B$6</f>
        <v>570.4</v>
      </c>
      <c r="BK12" s="118">
        <f>H12*Navires!$B$6</f>
        <v>1140.8</v>
      </c>
      <c r="BL12" s="118">
        <f>I12*Navires!$B$6</f>
        <v>570.4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15514.879999999996</v>
      </c>
    </row>
    <row r="13" spans="1:73" x14ac:dyDescent="0.25">
      <c r="A13" t="s">
        <v>57</v>
      </c>
      <c r="B13" s="2" t="s">
        <v>45</v>
      </c>
      <c r="C13" s="2">
        <v>3</v>
      </c>
      <c r="D13" s="2">
        <v>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/>
      <c r="K13" s="2"/>
      <c r="L13" s="2"/>
      <c r="M13" s="2"/>
      <c r="N13" s="2"/>
      <c r="O13" s="2"/>
      <c r="P13" s="2"/>
      <c r="Q13" s="32"/>
      <c r="R13" s="34">
        <f t="shared" si="0"/>
        <v>4</v>
      </c>
      <c r="S13" s="82">
        <f t="shared" si="1"/>
        <v>0.90293453724604977</v>
      </c>
      <c r="U13" s="2" t="s">
        <v>45</v>
      </c>
      <c r="V13" s="2">
        <f>C13*Navires!$B$2</f>
        <v>5865</v>
      </c>
      <c r="W13" s="2">
        <f>D13*Navires!$C$2</f>
        <v>1955</v>
      </c>
      <c r="X13" s="2">
        <f>E13*Navires!$D$2</f>
        <v>0</v>
      </c>
      <c r="Y13" s="2">
        <f>F13*Navires!$E$2</f>
        <v>0</v>
      </c>
      <c r="Z13" s="2">
        <f>G13*Navires!$F$2</f>
        <v>0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7820</v>
      </c>
      <c r="AM13" s="118" t="s">
        <v>45</v>
      </c>
      <c r="AN13" s="118">
        <f>C13*Navires!$B$6</f>
        <v>1711.1999999999998</v>
      </c>
      <c r="AO13" s="118">
        <f>D13*Navires!$C$6</f>
        <v>570.4</v>
      </c>
      <c r="AP13" s="118">
        <f>E13*Navires!$D$6</f>
        <v>0</v>
      </c>
      <c r="AQ13" s="118">
        <f>F13*Navires!$E$6</f>
        <v>0</v>
      </c>
      <c r="AR13" s="118">
        <f>G13*Navires!$F$6</f>
        <v>0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1140.8</v>
      </c>
      <c r="BE13" s="118" t="s">
        <v>45</v>
      </c>
      <c r="BF13" s="118">
        <f>C13*Navires!$B$6</f>
        <v>1711.1999999999998</v>
      </c>
      <c r="BG13" s="118">
        <f>D13*Navires!$B$6</f>
        <v>570.4</v>
      </c>
      <c r="BH13" s="118">
        <f>E13*Navires!$B$6</f>
        <v>0</v>
      </c>
      <c r="BI13" s="118">
        <f>F13*Navires!$B$6</f>
        <v>0</v>
      </c>
      <c r="BJ13" s="118">
        <f>G13*Navires!$B$6</f>
        <v>0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3878.72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/>
      <c r="L14" s="2"/>
      <c r="M14" s="2"/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>
        <v>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/>
      <c r="K15" s="2"/>
      <c r="L15" s="2"/>
      <c r="M15" s="2"/>
      <c r="N15" s="2"/>
      <c r="O15" s="2"/>
      <c r="P15" s="2"/>
      <c r="Q15" s="32"/>
      <c r="R15" s="34">
        <f t="shared" si="0"/>
        <v>2</v>
      </c>
      <c r="S15" s="82">
        <f t="shared" si="1"/>
        <v>0.45146726862302489</v>
      </c>
      <c r="U15" s="2" t="s">
        <v>47</v>
      </c>
      <c r="V15" s="2">
        <f>C15*Navires!$B$2</f>
        <v>3910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3910</v>
      </c>
      <c r="AM15" s="118" t="s">
        <v>47</v>
      </c>
      <c r="AN15" s="118">
        <f>C15*Navires!$B$6</f>
        <v>1140.8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570.4</v>
      </c>
      <c r="BE15" s="118" t="s">
        <v>47</v>
      </c>
      <c r="BF15" s="118">
        <f>C15*Navires!$B$6</f>
        <v>1140.8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798.56</v>
      </c>
    </row>
    <row r="16" spans="1:73" x14ac:dyDescent="0.25">
      <c r="B16" s="29" t="s">
        <v>60</v>
      </c>
      <c r="C16" s="30">
        <f>SUM(C4:C15)</f>
        <v>26</v>
      </c>
      <c r="D16" s="30">
        <f t="shared" ref="D16:Q16" si="2">SUM(D4:D15)</f>
        <v>19</v>
      </c>
      <c r="E16" s="30">
        <f t="shared" si="2"/>
        <v>0</v>
      </c>
      <c r="F16" s="30">
        <f t="shared" si="2"/>
        <v>27</v>
      </c>
      <c r="G16" s="30">
        <f t="shared" si="2"/>
        <v>14</v>
      </c>
      <c r="H16" s="30">
        <f t="shared" si="2"/>
        <v>11</v>
      </c>
      <c r="I16" s="30">
        <f t="shared" si="2"/>
        <v>12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109</v>
      </c>
      <c r="S16" s="82">
        <f t="shared" si="1"/>
        <v>2.090926529829273</v>
      </c>
      <c r="U16" s="29" t="s">
        <v>60</v>
      </c>
      <c r="V16" s="30">
        <f>SUM(V4:V15)</f>
        <v>50830</v>
      </c>
      <c r="W16" s="30">
        <f t="shared" ref="W16:AJ16" si="3">SUM(W4:W15)</f>
        <v>37145</v>
      </c>
      <c r="X16" s="30">
        <f t="shared" si="3"/>
        <v>0</v>
      </c>
      <c r="Y16" s="30">
        <f t="shared" si="3"/>
        <v>50760</v>
      </c>
      <c r="Z16" s="30">
        <f t="shared" si="3"/>
        <v>26544</v>
      </c>
      <c r="AA16" s="30">
        <f t="shared" si="3"/>
        <v>22000</v>
      </c>
      <c r="AB16" s="30">
        <f t="shared" si="3"/>
        <v>24000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14830.399999999998</v>
      </c>
      <c r="AO16" s="30">
        <f t="shared" ref="AO16:BB16" si="4">SUM(AO4:AO15)</f>
        <v>10837.6</v>
      </c>
      <c r="AP16" s="30">
        <f t="shared" si="4"/>
        <v>0</v>
      </c>
      <c r="AQ16" s="30">
        <f t="shared" si="4"/>
        <v>33156</v>
      </c>
      <c r="AR16" s="30">
        <f t="shared" si="4"/>
        <v>9531.2000000000007</v>
      </c>
      <c r="AS16" s="30">
        <f t="shared" si="4"/>
        <v>7480</v>
      </c>
      <c r="AT16" s="30">
        <f t="shared" si="4"/>
        <v>8160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14830.399999999998</v>
      </c>
      <c r="BG16" s="30">
        <f t="shared" ref="BG16:BT16" si="5">SUM(BG4:BG15)</f>
        <v>10837.6</v>
      </c>
      <c r="BH16" s="30">
        <f t="shared" si="5"/>
        <v>0</v>
      </c>
      <c r="BI16" s="30">
        <f t="shared" si="5"/>
        <v>15400.8</v>
      </c>
      <c r="BJ16" s="30">
        <f t="shared" si="5"/>
        <v>7985.5999999999995</v>
      </c>
      <c r="BK16" s="30">
        <f t="shared" si="5"/>
        <v>6274.4</v>
      </c>
      <c r="BL16" s="30">
        <f t="shared" si="5"/>
        <v>6844.8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66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/>
      <c r="K21" s="2"/>
      <c r="L21" s="2"/>
      <c r="M21" s="2"/>
      <c r="N21" s="2"/>
      <c r="O21" s="2"/>
      <c r="P21" s="2"/>
      <c r="Q21" s="32"/>
      <c r="R21" s="34">
        <f>SUM(C21:Q21)</f>
        <v>0</v>
      </c>
      <c r="S21" s="82">
        <f>R21/R36</f>
        <v>0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0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0</v>
      </c>
    </row>
    <row r="22" spans="1:73" x14ac:dyDescent="0.25">
      <c r="A22" t="s">
        <v>49</v>
      </c>
      <c r="B22" s="2" t="s">
        <v>37</v>
      </c>
      <c r="C22" s="2">
        <v>0</v>
      </c>
      <c r="D22" s="2">
        <v>0</v>
      </c>
      <c r="E22">
        <v>0</v>
      </c>
      <c r="F22" s="2">
        <v>0</v>
      </c>
      <c r="G22" s="2">
        <v>0</v>
      </c>
      <c r="H22" s="2">
        <v>0</v>
      </c>
      <c r="I22" s="2">
        <v>0</v>
      </c>
      <c r="J22" s="2"/>
      <c r="K22" s="2"/>
      <c r="L22" s="2"/>
      <c r="M22" s="2"/>
      <c r="N22" s="2"/>
      <c r="O22" s="2"/>
      <c r="P22" s="2"/>
      <c r="Q22" s="32"/>
      <c r="R22" s="34">
        <f t="shared" ref="R22:R33" si="6">SUM(C22:Q22)</f>
        <v>0</v>
      </c>
      <c r="S22" s="82">
        <f t="shared" ref="S22:S33" si="7">R22/R37</f>
        <v>0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0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0</v>
      </c>
    </row>
    <row r="23" spans="1:73" x14ac:dyDescent="0.25">
      <c r="A23" t="s">
        <v>50</v>
      </c>
      <c r="B23" s="2" t="s">
        <v>38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/>
      <c r="K23" s="2"/>
      <c r="L23" s="2"/>
      <c r="M23" s="2"/>
      <c r="N23" s="2"/>
      <c r="O23" s="2"/>
      <c r="P23" s="2"/>
      <c r="Q23" s="32"/>
      <c r="R23" s="34">
        <f t="shared" si="6"/>
        <v>0</v>
      </c>
      <c r="S23" s="82">
        <f t="shared" si="7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>
        <v>2</v>
      </c>
      <c r="D24" s="2">
        <v>3</v>
      </c>
      <c r="E24" s="2">
        <v>0</v>
      </c>
      <c r="F24" s="2">
        <v>2</v>
      </c>
      <c r="G24" s="2">
        <v>0</v>
      </c>
      <c r="H24" s="2">
        <v>2</v>
      </c>
      <c r="I24" s="2">
        <v>1</v>
      </c>
      <c r="J24" s="2"/>
      <c r="K24" s="2"/>
      <c r="L24" s="2"/>
      <c r="M24" s="2"/>
      <c r="N24" s="2"/>
      <c r="O24" s="2"/>
      <c r="P24" s="2"/>
      <c r="Q24" s="32"/>
      <c r="R24" s="34">
        <f t="shared" si="6"/>
        <v>10</v>
      </c>
      <c r="S24" s="82">
        <f t="shared" si="7"/>
        <v>2.3364485981308412</v>
      </c>
      <c r="U24" s="2" t="s">
        <v>39</v>
      </c>
      <c r="V24" s="2">
        <f>C24*Navires!$B$2</f>
        <v>3910</v>
      </c>
      <c r="W24" s="2">
        <f>D24*Navires!$C$2</f>
        <v>5865</v>
      </c>
      <c r="X24" s="2">
        <f>E24*Navires!$D$2</f>
        <v>0</v>
      </c>
      <c r="Y24" s="2">
        <f>F24*Navires!$E$2</f>
        <v>3760</v>
      </c>
      <c r="Z24" s="2">
        <f>G24*Navires!$F$2</f>
        <v>0</v>
      </c>
      <c r="AA24" s="2">
        <f>H24*Navires!$G$2</f>
        <v>4000</v>
      </c>
      <c r="AB24" s="2">
        <f>I24*Navires!$H$2</f>
        <v>2000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19535</v>
      </c>
      <c r="AM24" s="118" t="s">
        <v>39</v>
      </c>
      <c r="AN24" s="118">
        <f>C24*Navires!$B$6</f>
        <v>1140.8</v>
      </c>
      <c r="AO24" s="118">
        <f>D24*Navires!$C$6</f>
        <v>1711.1999999999998</v>
      </c>
      <c r="AP24" s="118">
        <f>E24*Navires!$D$6</f>
        <v>0</v>
      </c>
      <c r="AQ24" s="118">
        <f>F24*Navires!$E$6</f>
        <v>2456</v>
      </c>
      <c r="AR24" s="118">
        <f>G24*Navires!$F$6</f>
        <v>0</v>
      </c>
      <c r="AS24" s="118">
        <f>H24*Navires!$G$6</f>
        <v>1360</v>
      </c>
      <c r="AT24" s="118">
        <f>I24*Navires!$H$6</f>
        <v>680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3674</v>
      </c>
      <c r="BE24" s="118" t="s">
        <v>39</v>
      </c>
      <c r="BF24" s="118">
        <f>C24*Navires!$B$6</f>
        <v>1140.8</v>
      </c>
      <c r="BG24" s="118">
        <f>D24*Navires!$B$6</f>
        <v>1711.1999999999998</v>
      </c>
      <c r="BH24" s="118">
        <f>E24*Navires!$B$6</f>
        <v>0</v>
      </c>
      <c r="BI24" s="118">
        <f>F24*Navires!$B$6</f>
        <v>1140.8</v>
      </c>
      <c r="BJ24" s="118">
        <f>G24*Navires!$B$6</f>
        <v>0</v>
      </c>
      <c r="BK24" s="118">
        <f>H24*Navires!$B$6</f>
        <v>1140.8</v>
      </c>
      <c r="BL24" s="118">
        <f>I24*Navires!$B$6</f>
        <v>570.4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9696.7999999999993</v>
      </c>
    </row>
    <row r="25" spans="1:73" x14ac:dyDescent="0.25">
      <c r="A25" t="s">
        <v>52</v>
      </c>
      <c r="B25" s="2" t="s">
        <v>40</v>
      </c>
      <c r="C25" s="2">
        <v>2</v>
      </c>
      <c r="D25" s="2">
        <v>2</v>
      </c>
      <c r="E25" s="2">
        <v>0</v>
      </c>
      <c r="F25" s="2">
        <v>1</v>
      </c>
      <c r="G25" s="2">
        <v>0</v>
      </c>
      <c r="H25" s="2">
        <v>1</v>
      </c>
      <c r="I25" s="2">
        <v>0</v>
      </c>
      <c r="J25" s="2"/>
      <c r="K25" s="2"/>
      <c r="L25" s="2"/>
      <c r="M25" s="2"/>
      <c r="N25" s="2"/>
      <c r="O25" s="2"/>
      <c r="P25" s="2"/>
      <c r="Q25" s="32"/>
      <c r="R25" s="34">
        <f t="shared" si="6"/>
        <v>6</v>
      </c>
      <c r="S25" s="82">
        <f t="shared" si="7"/>
        <v>1.3544018058690745</v>
      </c>
      <c r="U25" s="2" t="s">
        <v>40</v>
      </c>
      <c r="V25" s="2">
        <f>C25*Navires!$B$2</f>
        <v>3910</v>
      </c>
      <c r="W25" s="2">
        <f>D25*Navires!$C$2</f>
        <v>3910</v>
      </c>
      <c r="X25" s="2">
        <f>E25*Navires!$D$2</f>
        <v>0</v>
      </c>
      <c r="Y25" s="2">
        <f>F25*Navires!$E$2</f>
        <v>1880</v>
      </c>
      <c r="Z25" s="2">
        <f>G25*Navires!$F$2</f>
        <v>0</v>
      </c>
      <c r="AA25" s="2">
        <f>H25*Navires!$G$2</f>
        <v>2000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11700</v>
      </c>
      <c r="AM25" s="118" t="s">
        <v>40</v>
      </c>
      <c r="AN25" s="118">
        <f>C25*Navires!$B$6</f>
        <v>1140.8</v>
      </c>
      <c r="AO25" s="118">
        <f>D25*Navires!$C$6</f>
        <v>1140.8</v>
      </c>
      <c r="AP25" s="118">
        <f>E25*Navires!$D$6</f>
        <v>0</v>
      </c>
      <c r="AQ25" s="118">
        <f>F25*Navires!$E$6</f>
        <v>1228</v>
      </c>
      <c r="AR25" s="118">
        <f>G25*Navires!$F$6</f>
        <v>0</v>
      </c>
      <c r="AS25" s="118">
        <f>H25*Navires!$G$6</f>
        <v>680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1256.8800000000001</v>
      </c>
      <c r="BE25" s="118" t="s">
        <v>40</v>
      </c>
      <c r="BF25" s="118">
        <f>C25*Navires!$B$6</f>
        <v>1140.8</v>
      </c>
      <c r="BG25" s="118">
        <f>D25*Navires!$B$6</f>
        <v>1140.8</v>
      </c>
      <c r="BH25" s="118">
        <f>E25*Navires!$B$6</f>
        <v>0</v>
      </c>
      <c r="BI25" s="118">
        <f>F25*Navires!$B$6</f>
        <v>570.4</v>
      </c>
      <c r="BJ25" s="118">
        <f>G25*Navires!$B$6</f>
        <v>0</v>
      </c>
      <c r="BK25" s="118">
        <f>H25*Navires!$B$6</f>
        <v>570.4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5818.08</v>
      </c>
    </row>
    <row r="26" spans="1:73" x14ac:dyDescent="0.25">
      <c r="A26" t="s">
        <v>53</v>
      </c>
      <c r="B26" s="2" t="s">
        <v>41</v>
      </c>
      <c r="C26" s="2">
        <v>4</v>
      </c>
      <c r="D26" s="2">
        <v>3</v>
      </c>
      <c r="E26" s="2">
        <v>0</v>
      </c>
      <c r="F26" s="2">
        <v>7</v>
      </c>
      <c r="G26" s="2">
        <v>2</v>
      </c>
      <c r="H26" s="2">
        <v>0</v>
      </c>
      <c r="I26" s="2">
        <v>1</v>
      </c>
      <c r="J26" s="2"/>
      <c r="K26" s="2"/>
      <c r="L26" s="2"/>
      <c r="M26" s="2"/>
      <c r="N26" s="2"/>
      <c r="O26" s="2"/>
      <c r="P26" s="2"/>
      <c r="Q26" s="32"/>
      <c r="R26" s="34">
        <f t="shared" si="6"/>
        <v>17</v>
      </c>
      <c r="S26" s="82">
        <f t="shared" si="7"/>
        <v>3.9719626168224296</v>
      </c>
      <c r="U26" s="2" t="s">
        <v>41</v>
      </c>
      <c r="V26" s="2">
        <f>C26*Navires!$B$2</f>
        <v>7820</v>
      </c>
      <c r="W26" s="2">
        <f>D26*Navires!$C$2</f>
        <v>5865</v>
      </c>
      <c r="X26" s="2">
        <f>E26*Navires!$D$2</f>
        <v>0</v>
      </c>
      <c r="Y26" s="2">
        <f>F26*Navires!$E$2</f>
        <v>13160</v>
      </c>
      <c r="Z26" s="2">
        <f>G26*Navires!$F$2</f>
        <v>3792</v>
      </c>
      <c r="AA26" s="2">
        <f>H26*Navires!$G$2</f>
        <v>0</v>
      </c>
      <c r="AB26" s="2">
        <f>I26*Navires!$H$2</f>
        <v>2000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32637</v>
      </c>
      <c r="AM26" s="118" t="s">
        <v>41</v>
      </c>
      <c r="AN26" s="118">
        <f>C26*Navires!$B$6</f>
        <v>2281.6</v>
      </c>
      <c r="AO26" s="118">
        <f>D26*Navires!$C$6</f>
        <v>1711.1999999999998</v>
      </c>
      <c r="AP26" s="118">
        <f>E26*Navires!$D$6</f>
        <v>0</v>
      </c>
      <c r="AQ26" s="118">
        <f>F26*Navires!$E$6</f>
        <v>8596</v>
      </c>
      <c r="AR26" s="118">
        <f>G26*Navires!$F$6</f>
        <v>1361.6000000000001</v>
      </c>
      <c r="AS26" s="118">
        <f>H26*Navires!$G$6</f>
        <v>0</v>
      </c>
      <c r="AT26" s="118">
        <f>I26*Navires!$H$6</f>
        <v>680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4389.12</v>
      </c>
      <c r="BE26" s="118" t="s">
        <v>41</v>
      </c>
      <c r="BF26" s="118">
        <f>C26*Navires!$B$6</f>
        <v>2281.6</v>
      </c>
      <c r="BG26" s="118">
        <f>D26*Navires!$B$6</f>
        <v>1711.1999999999998</v>
      </c>
      <c r="BH26" s="118">
        <f>E26*Navires!$B$6</f>
        <v>0</v>
      </c>
      <c r="BI26" s="118">
        <f>F26*Navires!$B$6</f>
        <v>3992.7999999999997</v>
      </c>
      <c r="BJ26" s="118">
        <f>G26*Navires!$B$6</f>
        <v>1140.8</v>
      </c>
      <c r="BK26" s="118">
        <f>H26*Navires!$B$6</f>
        <v>0</v>
      </c>
      <c r="BL26" s="118">
        <f>I26*Navires!$B$6</f>
        <v>570.4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16484.559999999998</v>
      </c>
    </row>
    <row r="27" spans="1:73" x14ac:dyDescent="0.25">
      <c r="A27" t="s">
        <v>54</v>
      </c>
      <c r="B27" s="2" t="s">
        <v>42</v>
      </c>
      <c r="C27" s="2">
        <v>3</v>
      </c>
      <c r="D27" s="2">
        <v>4</v>
      </c>
      <c r="E27" s="2">
        <v>0</v>
      </c>
      <c r="F27" s="2">
        <v>6</v>
      </c>
      <c r="G27" s="2">
        <v>5</v>
      </c>
      <c r="H27" s="2">
        <v>2</v>
      </c>
      <c r="I27" s="2">
        <v>3</v>
      </c>
      <c r="J27" s="2"/>
      <c r="K27" s="2"/>
      <c r="L27" s="2"/>
      <c r="M27" s="2"/>
      <c r="N27" s="2"/>
      <c r="O27" s="2"/>
      <c r="P27" s="2"/>
      <c r="Q27" s="32"/>
      <c r="R27" s="34">
        <f t="shared" si="6"/>
        <v>23</v>
      </c>
      <c r="S27" s="82">
        <f t="shared" si="7"/>
        <v>5.1918735891647856</v>
      </c>
      <c r="U27" s="2" t="s">
        <v>42</v>
      </c>
      <c r="V27" s="2">
        <f>C27*Navires!$B$2</f>
        <v>5865</v>
      </c>
      <c r="W27" s="2">
        <f>D27*Navires!$C$2</f>
        <v>7820</v>
      </c>
      <c r="X27" s="2">
        <f>E27*Navires!$D$2</f>
        <v>0</v>
      </c>
      <c r="Y27" s="2">
        <f>F27*Navires!$E$2</f>
        <v>11280</v>
      </c>
      <c r="Z27" s="2">
        <f>G27*Navires!$F$2</f>
        <v>9480</v>
      </c>
      <c r="AA27" s="2">
        <f>H27*Navires!$G$2</f>
        <v>4000</v>
      </c>
      <c r="AB27" s="2">
        <f>I27*Navires!$H$2</f>
        <v>6000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44445</v>
      </c>
      <c r="AM27" s="118" t="s">
        <v>42</v>
      </c>
      <c r="AN27" s="118">
        <f>C27*Navires!$B$6</f>
        <v>1711.1999999999998</v>
      </c>
      <c r="AO27" s="118">
        <f>D27*Navires!$C$6</f>
        <v>2281.6</v>
      </c>
      <c r="AP27" s="118">
        <f>E27*Navires!$D$6</f>
        <v>0</v>
      </c>
      <c r="AQ27" s="118">
        <f>F27*Navires!$E$6</f>
        <v>7368</v>
      </c>
      <c r="AR27" s="118">
        <f>G27*Navires!$F$6</f>
        <v>3404.0000000000005</v>
      </c>
      <c r="AS27" s="118">
        <f>H27*Navires!$G$6</f>
        <v>1360</v>
      </c>
      <c r="AT27" s="118">
        <f>I27*Navires!$H$6</f>
        <v>2040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5449.44</v>
      </c>
      <c r="BE27" s="118" t="s">
        <v>42</v>
      </c>
      <c r="BF27" s="118">
        <f>C27*Navires!$B$6</f>
        <v>1711.1999999999998</v>
      </c>
      <c r="BG27" s="118">
        <f>D27*Navires!$B$6</f>
        <v>2281.6</v>
      </c>
      <c r="BH27" s="118">
        <f>E27*Navires!$B$6</f>
        <v>0</v>
      </c>
      <c r="BI27" s="118">
        <f>F27*Navires!$B$6</f>
        <v>3422.3999999999996</v>
      </c>
      <c r="BJ27" s="118">
        <f>G27*Navires!$B$6</f>
        <v>2852</v>
      </c>
      <c r="BK27" s="118">
        <f>H27*Navires!$B$6</f>
        <v>1140.8</v>
      </c>
      <c r="BL27" s="118">
        <f>I27*Navires!$B$6</f>
        <v>1711.1999999999998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22302.639999999996</v>
      </c>
    </row>
    <row r="28" spans="1:73" x14ac:dyDescent="0.25">
      <c r="A28" t="s">
        <v>55</v>
      </c>
      <c r="B28" s="2" t="s">
        <v>43</v>
      </c>
      <c r="C28" s="2">
        <v>3</v>
      </c>
      <c r="D28" s="2">
        <v>5</v>
      </c>
      <c r="E28" s="2">
        <v>0</v>
      </c>
      <c r="F28" s="2">
        <v>6</v>
      </c>
      <c r="G28" s="2">
        <v>7</v>
      </c>
      <c r="H28" s="2">
        <v>2</v>
      </c>
      <c r="I28" s="2">
        <v>2</v>
      </c>
      <c r="J28" s="2"/>
      <c r="K28" s="2"/>
      <c r="L28" s="2"/>
      <c r="M28" s="2"/>
      <c r="N28" s="2"/>
      <c r="O28" s="2"/>
      <c r="P28" s="2"/>
      <c r="Q28" s="32"/>
      <c r="R28" s="34">
        <f t="shared" si="6"/>
        <v>25</v>
      </c>
      <c r="S28" s="82">
        <f t="shared" si="7"/>
        <v>5.6433408577878108</v>
      </c>
      <c r="U28" s="2" t="s">
        <v>43</v>
      </c>
      <c r="V28" s="2">
        <f>C28*Navires!$B$2</f>
        <v>5865</v>
      </c>
      <c r="W28" s="2">
        <f>D28*Navires!$C$2</f>
        <v>9775</v>
      </c>
      <c r="X28" s="2">
        <f>E28*Navires!$D$2</f>
        <v>0</v>
      </c>
      <c r="Y28" s="2">
        <f>F28*Navires!$E$2</f>
        <v>11280</v>
      </c>
      <c r="Z28" s="2">
        <f>G28*Navires!$F$2</f>
        <v>13272</v>
      </c>
      <c r="AA28" s="2">
        <f>H28*Navires!$G$2</f>
        <v>4000</v>
      </c>
      <c r="AB28" s="2">
        <f>I28*Navires!$H$2</f>
        <v>4000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48192</v>
      </c>
      <c r="AM28" s="118" t="s">
        <v>43</v>
      </c>
      <c r="AN28" s="118">
        <f>C28*Navires!$B$6</f>
        <v>1711.1999999999998</v>
      </c>
      <c r="AO28" s="118">
        <f>D28*Navires!$C$6</f>
        <v>2852</v>
      </c>
      <c r="AP28" s="118">
        <f>E28*Navires!$D$6</f>
        <v>0</v>
      </c>
      <c r="AQ28" s="118">
        <f>F28*Navires!$E$6</f>
        <v>7368</v>
      </c>
      <c r="AR28" s="118">
        <f>G28*Navires!$F$6</f>
        <v>4765.6000000000004</v>
      </c>
      <c r="AS28" s="118">
        <f>H28*Navires!$G$6</f>
        <v>1360</v>
      </c>
      <c r="AT28" s="118">
        <f>I28*Navires!$H$6</f>
        <v>1360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5825.0400000000009</v>
      </c>
      <c r="BE28" s="118" t="s">
        <v>43</v>
      </c>
      <c r="BF28" s="118">
        <f>C28*Navires!$B$6</f>
        <v>1711.1999999999998</v>
      </c>
      <c r="BG28" s="118">
        <f>D28*Navires!$B$6</f>
        <v>2852</v>
      </c>
      <c r="BH28" s="118">
        <f>E28*Navires!$B$6</f>
        <v>0</v>
      </c>
      <c r="BI28" s="118">
        <f>F28*Navires!$B$6</f>
        <v>3422.3999999999996</v>
      </c>
      <c r="BJ28" s="118">
        <f>G28*Navires!$B$6</f>
        <v>3992.7999999999997</v>
      </c>
      <c r="BK28" s="118">
        <f>H28*Navires!$B$6</f>
        <v>1140.8</v>
      </c>
      <c r="BL28" s="118">
        <f>I28*Navires!$B$6</f>
        <v>1140.8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24241.999999999996</v>
      </c>
    </row>
    <row r="29" spans="1:73" x14ac:dyDescent="0.25">
      <c r="A29" t="s">
        <v>56</v>
      </c>
      <c r="B29" s="2" t="s">
        <v>44</v>
      </c>
      <c r="C29" s="2">
        <v>5</v>
      </c>
      <c r="D29" s="2">
        <v>2</v>
      </c>
      <c r="E29" s="2">
        <v>0</v>
      </c>
      <c r="F29" s="2">
        <v>3</v>
      </c>
      <c r="G29" s="2">
        <v>1</v>
      </c>
      <c r="H29" s="2">
        <v>1</v>
      </c>
      <c r="I29" s="2">
        <v>1</v>
      </c>
      <c r="J29" s="2"/>
      <c r="K29" s="2"/>
      <c r="L29" s="2"/>
      <c r="M29" s="2"/>
      <c r="N29" s="2"/>
      <c r="O29" s="2"/>
      <c r="P29" s="2"/>
      <c r="Q29" s="32"/>
      <c r="R29" s="34">
        <f t="shared" si="6"/>
        <v>13</v>
      </c>
      <c r="S29" s="82">
        <f t="shared" si="7"/>
        <v>3.0373831775700935</v>
      </c>
      <c r="U29" s="2" t="s">
        <v>44</v>
      </c>
      <c r="V29" s="2">
        <f>C29*Navires!$B$2</f>
        <v>9775</v>
      </c>
      <c r="W29" s="2">
        <f>D29*Navires!$C$2</f>
        <v>3910</v>
      </c>
      <c r="X29" s="2">
        <f>E29*Navires!$D$2</f>
        <v>0</v>
      </c>
      <c r="Y29" s="2">
        <f>F29*Navires!$E$2</f>
        <v>5640</v>
      </c>
      <c r="Z29" s="2">
        <f>G29*Navires!$F$2</f>
        <v>1896</v>
      </c>
      <c r="AA29" s="2">
        <f>H29*Navires!$G$2</f>
        <v>2000</v>
      </c>
      <c r="AB29" s="2">
        <f>I29*Navires!$H$2</f>
        <v>2000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25221</v>
      </c>
      <c r="AM29" s="118" t="s">
        <v>44</v>
      </c>
      <c r="AN29" s="118">
        <f>C29*Navires!$B$6</f>
        <v>2852</v>
      </c>
      <c r="AO29" s="118">
        <f>D29*Navires!$C$6</f>
        <v>1140.8</v>
      </c>
      <c r="AP29" s="118">
        <f>E29*Navires!$D$6</f>
        <v>0</v>
      </c>
      <c r="AQ29" s="118">
        <f>F29*Navires!$E$6</f>
        <v>3684</v>
      </c>
      <c r="AR29" s="118">
        <f>G29*Navires!$F$6</f>
        <v>680.80000000000007</v>
      </c>
      <c r="AS29" s="118">
        <f>H29*Navires!$G$6</f>
        <v>680</v>
      </c>
      <c r="AT29" s="118">
        <f>I29*Navires!$H$6</f>
        <v>680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2915.28</v>
      </c>
      <c r="BE29" s="118" t="s">
        <v>44</v>
      </c>
      <c r="BF29" s="118">
        <f>C29*Navires!$B$6</f>
        <v>2852</v>
      </c>
      <c r="BG29" s="118">
        <f>D29*Navires!$B$6</f>
        <v>1140.8</v>
      </c>
      <c r="BH29" s="118">
        <f>E29*Navires!$B$6</f>
        <v>0</v>
      </c>
      <c r="BI29" s="118">
        <f>F29*Navires!$B$6</f>
        <v>1711.1999999999998</v>
      </c>
      <c r="BJ29" s="118">
        <f>G29*Navires!$B$6</f>
        <v>570.4</v>
      </c>
      <c r="BK29" s="118">
        <f>H29*Navires!$B$6</f>
        <v>570.4</v>
      </c>
      <c r="BL29" s="118">
        <f>I29*Navires!$B$6</f>
        <v>570.4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12605.839999999998</v>
      </c>
    </row>
    <row r="30" spans="1:73" x14ac:dyDescent="0.25">
      <c r="A30" t="s">
        <v>57</v>
      </c>
      <c r="B30" s="2" t="s">
        <v>45</v>
      </c>
      <c r="C30" s="2">
        <v>3</v>
      </c>
      <c r="D30" s="2">
        <v>1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/>
      <c r="K30" s="2"/>
      <c r="L30" s="2"/>
      <c r="M30" s="2"/>
      <c r="N30" s="2"/>
      <c r="O30" s="2"/>
      <c r="P30" s="2"/>
      <c r="Q30" s="32"/>
      <c r="R30" s="34">
        <f t="shared" si="6"/>
        <v>5</v>
      </c>
      <c r="S30" s="82">
        <f t="shared" si="7"/>
        <v>1.1286681715575622</v>
      </c>
      <c r="U30" s="2" t="s">
        <v>45</v>
      </c>
      <c r="V30" s="2">
        <f>C30*Navires!$B$2</f>
        <v>5865</v>
      </c>
      <c r="W30" s="2">
        <f>D30*Navires!$C$2</f>
        <v>1955</v>
      </c>
      <c r="X30" s="2">
        <f>E30*Navires!$D$2</f>
        <v>0</v>
      </c>
      <c r="Y30" s="2">
        <f>F30*Navires!$E$2</f>
        <v>0</v>
      </c>
      <c r="Z30" s="2">
        <f>G30*Navires!$F$2</f>
        <v>0</v>
      </c>
      <c r="AA30" s="2">
        <f>H30*Navires!$G$2</f>
        <v>2000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9820</v>
      </c>
      <c r="AM30" s="118" t="s">
        <v>45</v>
      </c>
      <c r="AN30" s="118">
        <f>C30*Navires!$B$6</f>
        <v>1711.1999999999998</v>
      </c>
      <c r="AO30" s="118">
        <f>D30*Navires!$C$6</f>
        <v>570.4</v>
      </c>
      <c r="AP30" s="118">
        <f>E30*Navires!$D$6</f>
        <v>0</v>
      </c>
      <c r="AQ30" s="118">
        <f>F30*Navires!$E$6</f>
        <v>0</v>
      </c>
      <c r="AR30" s="118">
        <f>G30*Navires!$F$6</f>
        <v>0</v>
      </c>
      <c r="AS30" s="118">
        <f>H30*Navires!$G$6</f>
        <v>680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1480.8</v>
      </c>
      <c r="BE30" s="118" t="s">
        <v>45</v>
      </c>
      <c r="BF30" s="118">
        <f>C30*Navires!$B$6</f>
        <v>1711.1999999999998</v>
      </c>
      <c r="BG30" s="118">
        <f>D30*Navires!$B$6</f>
        <v>570.4</v>
      </c>
      <c r="BH30" s="118">
        <f>E30*Navires!$B$6</f>
        <v>0</v>
      </c>
      <c r="BI30" s="118">
        <f>F30*Navires!$B$6</f>
        <v>0</v>
      </c>
      <c r="BJ30" s="118">
        <f>G30*Navires!$B$6</f>
        <v>0</v>
      </c>
      <c r="BK30" s="118">
        <f>H30*Navires!$B$6</f>
        <v>570.4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4848.3999999999996</v>
      </c>
    </row>
    <row r="31" spans="1:73" x14ac:dyDescent="0.25">
      <c r="A31" t="s">
        <v>58</v>
      </c>
      <c r="B31" s="2" t="s">
        <v>46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/>
      <c r="K31" s="2"/>
      <c r="L31" s="2"/>
      <c r="M31" s="2"/>
      <c r="N31" s="2"/>
      <c r="O31" s="2"/>
      <c r="P31" s="2"/>
      <c r="Q31" s="32"/>
      <c r="R31" s="34">
        <f t="shared" si="6"/>
        <v>0</v>
      </c>
      <c r="S31" s="82">
        <f t="shared" si="7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>
        <v>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/>
      <c r="K32" s="2"/>
      <c r="L32" s="2"/>
      <c r="M32" s="2"/>
      <c r="N32" s="2"/>
      <c r="O32" s="2"/>
      <c r="P32" s="2"/>
      <c r="Q32" s="32"/>
      <c r="R32" s="34">
        <f t="shared" si="6"/>
        <v>2</v>
      </c>
      <c r="S32" s="82">
        <f t="shared" si="7"/>
        <v>0.45146726862302489</v>
      </c>
      <c r="U32" s="2" t="s">
        <v>47</v>
      </c>
      <c r="V32" s="2">
        <f>C32*Navires!$B$2</f>
        <v>3910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3910</v>
      </c>
      <c r="AM32" s="118" t="s">
        <v>47</v>
      </c>
      <c r="AN32" s="118">
        <f>C32*Navires!$B$6</f>
        <v>1140.8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570.4</v>
      </c>
      <c r="BE32" s="118" t="s">
        <v>47</v>
      </c>
      <c r="BF32" s="118">
        <f>C32*Navires!$B$6</f>
        <v>1140.8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798.56</v>
      </c>
    </row>
    <row r="33" spans="1:73" x14ac:dyDescent="0.25">
      <c r="A33" s="30"/>
      <c r="B33" s="34" t="s">
        <v>60</v>
      </c>
      <c r="C33" s="34">
        <f>SUM(C21:C32)</f>
        <v>24</v>
      </c>
      <c r="D33" s="34">
        <f t="shared" ref="D33:E33" si="8">SUM(D21:D32)</f>
        <v>20</v>
      </c>
      <c r="E33" s="34">
        <f t="shared" si="8"/>
        <v>0</v>
      </c>
      <c r="F33" s="34">
        <f>SUM(F21:F32)</f>
        <v>25</v>
      </c>
      <c r="G33" s="34">
        <f>SUM(G21:G32)</f>
        <v>15</v>
      </c>
      <c r="H33" s="34">
        <f t="shared" ref="H33:Q33" si="9">SUM(H21:H32)</f>
        <v>9</v>
      </c>
      <c r="I33" s="34">
        <f t="shared" si="9"/>
        <v>8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101</v>
      </c>
      <c r="S33" s="82">
        <f t="shared" si="7"/>
        <v>1.9374640322271244</v>
      </c>
      <c r="U33" s="34" t="s">
        <v>60</v>
      </c>
      <c r="V33" s="34">
        <f>SUM(V21:V32)</f>
        <v>46920</v>
      </c>
      <c r="W33" s="34">
        <f t="shared" ref="W33:AJ33" si="10">SUM(W21:W32)</f>
        <v>39100</v>
      </c>
      <c r="X33" s="34">
        <f t="shared" si="10"/>
        <v>0</v>
      </c>
      <c r="Y33" s="34">
        <f t="shared" si="10"/>
        <v>47000</v>
      </c>
      <c r="Z33" s="34">
        <f t="shared" si="10"/>
        <v>28440</v>
      </c>
      <c r="AA33" s="34">
        <f t="shared" si="10"/>
        <v>18000</v>
      </c>
      <c r="AB33" s="34">
        <f t="shared" si="10"/>
        <v>16000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13689.599999999999</v>
      </c>
      <c r="AO33" s="34">
        <f t="shared" ref="AO33:BB33" si="11">SUM(AO21:AO32)</f>
        <v>11407.999999999998</v>
      </c>
      <c r="AP33" s="34">
        <f t="shared" si="11"/>
        <v>0</v>
      </c>
      <c r="AQ33" s="34">
        <f t="shared" si="11"/>
        <v>30700</v>
      </c>
      <c r="AR33" s="34">
        <f t="shared" si="11"/>
        <v>10212</v>
      </c>
      <c r="AS33" s="34">
        <f t="shared" si="11"/>
        <v>6120</v>
      </c>
      <c r="AT33" s="34">
        <f t="shared" si="11"/>
        <v>5440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13689.599999999999</v>
      </c>
      <c r="BG33" s="118">
        <f>D33*Navires!$B$6</f>
        <v>11408</v>
      </c>
      <c r="BH33" s="118">
        <f>E33*Navires!$B$6</f>
        <v>0</v>
      </c>
      <c r="BI33" s="118">
        <f>F33*Navires!$B$6</f>
        <v>14260</v>
      </c>
      <c r="BJ33" s="118">
        <f>G33*Navires!$B$6</f>
        <v>8556</v>
      </c>
      <c r="BK33" s="118">
        <f>H33*Navires!$B$6</f>
        <v>5133.5999999999995</v>
      </c>
      <c r="BL33" s="118">
        <f>I33*Navires!$B$6</f>
        <v>4563.2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"/>
  <sheetViews>
    <sheetView topLeftCell="BF19" workbookViewId="0">
      <selection activeCell="BU20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>
        <v>0</v>
      </c>
      <c r="N4" s="2"/>
      <c r="O4" s="2"/>
      <c r="P4" s="2"/>
      <c r="Q4" s="32"/>
      <c r="R4" s="34">
        <f>SUM(C4:Q4)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t="s">
        <v>49</v>
      </c>
      <c r="B5" s="2" t="s">
        <v>37</v>
      </c>
      <c r="C5" s="2"/>
      <c r="D5" s="2"/>
      <c r="F5" s="2"/>
      <c r="G5" s="2"/>
      <c r="H5" s="2"/>
      <c r="I5" s="2"/>
      <c r="J5" s="2"/>
      <c r="K5" s="2"/>
      <c r="L5" s="2"/>
      <c r="M5" s="2">
        <v>0</v>
      </c>
      <c r="N5" s="2"/>
      <c r="O5" s="2"/>
      <c r="P5" s="2"/>
      <c r="Q5" s="32"/>
      <c r="R5" s="34">
        <f t="shared" ref="R5:R16" si="0">SUM(C5:Q5)</f>
        <v>0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0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0</v>
      </c>
    </row>
    <row r="6" spans="1:73" x14ac:dyDescent="0.25">
      <c r="A6" t="s">
        <v>50</v>
      </c>
      <c r="B6" s="2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>
        <v>0</v>
      </c>
      <c r="N6" s="2"/>
      <c r="O6" s="2"/>
      <c r="P6" s="2"/>
      <c r="Q6" s="32"/>
      <c r="R6" s="34">
        <f t="shared" si="0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/>
      <c r="D7" s="2"/>
      <c r="E7" s="2"/>
      <c r="F7" s="2"/>
      <c r="G7" s="2"/>
      <c r="H7" s="2"/>
      <c r="I7" s="2"/>
      <c r="J7" s="2"/>
      <c r="K7" s="2"/>
      <c r="L7" s="2"/>
      <c r="M7" s="2">
        <v>0</v>
      </c>
      <c r="N7" s="2"/>
      <c r="O7" s="2"/>
      <c r="P7" s="2"/>
      <c r="Q7" s="32"/>
      <c r="R7" s="34">
        <f t="shared" si="0"/>
        <v>0</v>
      </c>
      <c r="U7" s="2" t="s">
        <v>39</v>
      </c>
      <c r="V7" s="2">
        <f>C7*Navires!$B$2</f>
        <v>0</v>
      </c>
      <c r="W7" s="2">
        <f>D7*Navires!$C$2</f>
        <v>0</v>
      </c>
      <c r="X7" s="2">
        <f>E7*Navires!$D$2</f>
        <v>0</v>
      </c>
      <c r="Y7" s="2">
        <f>F7*Navires!$E$2</f>
        <v>0</v>
      </c>
      <c r="Z7" s="2">
        <f>G7*Navires!$F$2</f>
        <v>0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0</v>
      </c>
      <c r="AM7" s="118" t="s">
        <v>39</v>
      </c>
      <c r="AN7" s="118">
        <f>C7*Navires!$B$6</f>
        <v>0</v>
      </c>
      <c r="AO7" s="118">
        <f>D7*Navires!$C$6</f>
        <v>0</v>
      </c>
      <c r="AP7" s="118">
        <f>E7*Navires!$D$6</f>
        <v>0</v>
      </c>
      <c r="AQ7" s="118">
        <f>F7*Navires!$E$6</f>
        <v>0</v>
      </c>
      <c r="AR7" s="118">
        <f>G7*Navires!$F$6</f>
        <v>0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0</v>
      </c>
      <c r="BE7" s="118" t="s">
        <v>39</v>
      </c>
      <c r="BF7" s="118">
        <f>C7*Navires!$B$6</f>
        <v>0</v>
      </c>
      <c r="BG7" s="118">
        <f>D7*Navires!$B$6</f>
        <v>0</v>
      </c>
      <c r="BH7" s="118">
        <f>E7*Navires!$B$6</f>
        <v>0</v>
      </c>
      <c r="BI7" s="118">
        <f>F7*Navires!$B$6</f>
        <v>0</v>
      </c>
      <c r="BJ7" s="118">
        <f>G7*Navires!$B$6</f>
        <v>0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0</v>
      </c>
    </row>
    <row r="8" spans="1:73" x14ac:dyDescent="0.25">
      <c r="A8" t="s">
        <v>52</v>
      </c>
      <c r="B8" s="2" t="s">
        <v>40</v>
      </c>
      <c r="C8" s="2"/>
      <c r="D8" s="2"/>
      <c r="E8" s="2"/>
      <c r="F8" s="2"/>
      <c r="G8" s="2"/>
      <c r="H8" s="2"/>
      <c r="I8" s="2"/>
      <c r="J8" s="2"/>
      <c r="K8" s="2"/>
      <c r="L8" s="2"/>
      <c r="M8" s="2">
        <v>1</v>
      </c>
      <c r="N8" s="2"/>
      <c r="O8" s="2"/>
      <c r="P8" s="2"/>
      <c r="Q8" s="32"/>
      <c r="R8" s="34">
        <f t="shared" si="0"/>
        <v>1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0</v>
      </c>
      <c r="Z8" s="2">
        <f>G8*Navires!$F$2</f>
        <v>0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1790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1790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0</v>
      </c>
      <c r="AR8" s="118">
        <f>G8*Navires!$F$6</f>
        <v>0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680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204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0</v>
      </c>
      <c r="BJ8" s="118">
        <f>G8*Navires!$B$6</f>
        <v>0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570.4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969.68</v>
      </c>
    </row>
    <row r="9" spans="1:73" x14ac:dyDescent="0.25">
      <c r="A9" t="s">
        <v>53</v>
      </c>
      <c r="B9" s="2" t="s">
        <v>41</v>
      </c>
      <c r="C9" s="2"/>
      <c r="D9" s="2"/>
      <c r="E9" s="2"/>
      <c r="F9" s="2"/>
      <c r="G9" s="2"/>
      <c r="H9" s="2"/>
      <c r="I9" s="2"/>
      <c r="J9" s="2"/>
      <c r="K9" s="2"/>
      <c r="L9" s="2"/>
      <c r="M9" s="2">
        <v>0</v>
      </c>
      <c r="N9" s="2"/>
      <c r="O9" s="2"/>
      <c r="P9" s="2"/>
      <c r="Q9" s="32"/>
      <c r="R9" s="34">
        <f t="shared" si="0"/>
        <v>0</v>
      </c>
      <c r="U9" s="2" t="s">
        <v>41</v>
      </c>
      <c r="V9" s="2">
        <f>C9*Navires!$B$2</f>
        <v>0</v>
      </c>
      <c r="W9" s="2">
        <f>D9*Navires!$C$2</f>
        <v>0</v>
      </c>
      <c r="X9" s="2">
        <f>E9*Navires!$D$2</f>
        <v>0</v>
      </c>
      <c r="Y9" s="2">
        <f>F9*Navires!$E$2</f>
        <v>0</v>
      </c>
      <c r="Z9" s="2">
        <f>G9*Navires!$F$2</f>
        <v>0</v>
      </c>
      <c r="AA9" s="2">
        <f>H9*Navires!$G$2</f>
        <v>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0</v>
      </c>
      <c r="AM9" s="118" t="s">
        <v>41</v>
      </c>
      <c r="AN9" s="118">
        <f>C9*Navires!$B$6</f>
        <v>0</v>
      </c>
      <c r="AO9" s="118">
        <f>D9*Navires!$C$6</f>
        <v>0</v>
      </c>
      <c r="AP9" s="118">
        <f>E9*Navires!$D$6</f>
        <v>0</v>
      </c>
      <c r="AQ9" s="118">
        <f>F9*Navires!$E$6</f>
        <v>0</v>
      </c>
      <c r="AR9" s="118">
        <f>G9*Navires!$F$6</f>
        <v>0</v>
      </c>
      <c r="AS9" s="118">
        <f>H9*Navires!$G$6</f>
        <v>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0</v>
      </c>
      <c r="BE9" s="118" t="s">
        <v>41</v>
      </c>
      <c r="BF9" s="118">
        <f>C9*Navires!$B$6</f>
        <v>0</v>
      </c>
      <c r="BG9" s="118">
        <f>D9*Navires!$B$6</f>
        <v>0</v>
      </c>
      <c r="BH9" s="118">
        <f>E9*Navires!$B$6</f>
        <v>0</v>
      </c>
      <c r="BI9" s="118">
        <f>F9*Navires!$B$6</f>
        <v>0</v>
      </c>
      <c r="BJ9" s="118">
        <f>G9*Navires!$B$6</f>
        <v>0</v>
      </c>
      <c r="BK9" s="118">
        <f>H9*Navires!$B$6</f>
        <v>0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0</v>
      </c>
    </row>
    <row r="10" spans="1:73" x14ac:dyDescent="0.25">
      <c r="A10" t="s">
        <v>54</v>
      </c>
      <c r="B10" s="2" t="s">
        <v>42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>
        <v>1</v>
      </c>
      <c r="N10" s="2"/>
      <c r="O10" s="2"/>
      <c r="P10" s="2"/>
      <c r="Q10" s="32"/>
      <c r="R10" s="34">
        <f t="shared" si="0"/>
        <v>1</v>
      </c>
      <c r="U10" s="2" t="s">
        <v>42</v>
      </c>
      <c r="V10" s="2">
        <f>C10*Navires!$B$2</f>
        <v>0</v>
      </c>
      <c r="W10" s="2">
        <f>D10*Navires!$C$2</f>
        <v>0</v>
      </c>
      <c r="X10" s="2">
        <f>E10*Navires!$D$2</f>
        <v>0</v>
      </c>
      <c r="Y10" s="2">
        <f>F10*Navires!$E$2</f>
        <v>0</v>
      </c>
      <c r="Z10" s="2">
        <f>G10*Navires!$F$2</f>
        <v>0</v>
      </c>
      <c r="AA10" s="2">
        <f>H10*Navires!$G$2</f>
        <v>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1790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1790</v>
      </c>
      <c r="AM10" s="118" t="s">
        <v>42</v>
      </c>
      <c r="AN10" s="118">
        <f>C10*Navires!$B$6</f>
        <v>0</v>
      </c>
      <c r="AO10" s="118">
        <f>D10*Navires!$C$6</f>
        <v>0</v>
      </c>
      <c r="AP10" s="118">
        <f>E10*Navires!$D$6</f>
        <v>0</v>
      </c>
      <c r="AQ10" s="118">
        <f>F10*Navires!$E$6</f>
        <v>0</v>
      </c>
      <c r="AR10" s="118">
        <f>G10*Navires!$F$6</f>
        <v>0</v>
      </c>
      <c r="AS10" s="118">
        <f>H10*Navires!$G$6</f>
        <v>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680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204</v>
      </c>
      <c r="BE10" s="118" t="s">
        <v>42</v>
      </c>
      <c r="BF10" s="118">
        <f>C10*Navires!$B$6</f>
        <v>0</v>
      </c>
      <c r="BG10" s="118">
        <f>D10*Navires!$B$6</f>
        <v>0</v>
      </c>
      <c r="BH10" s="118">
        <f>E10*Navires!$B$6</f>
        <v>0</v>
      </c>
      <c r="BI10" s="118">
        <f>F10*Navires!$B$6</f>
        <v>0</v>
      </c>
      <c r="BJ10" s="118">
        <f>G10*Navires!$B$6</f>
        <v>0</v>
      </c>
      <c r="BK10" s="118">
        <f>H10*Navires!$B$6</f>
        <v>0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570.4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969.68</v>
      </c>
    </row>
    <row r="11" spans="1:73" x14ac:dyDescent="0.25">
      <c r="A11" t="s">
        <v>55</v>
      </c>
      <c r="B11" s="2" t="s">
        <v>43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>
        <v>0</v>
      </c>
      <c r="N11" s="2"/>
      <c r="O11" s="2"/>
      <c r="P11" s="2"/>
      <c r="Q11" s="32"/>
      <c r="R11" s="34">
        <f t="shared" si="0"/>
        <v>0</v>
      </c>
      <c r="U11" s="2" t="s">
        <v>43</v>
      </c>
      <c r="V11" s="2">
        <f>C11*Navires!$B$2</f>
        <v>0</v>
      </c>
      <c r="W11" s="2">
        <f>D11*Navires!$C$2</f>
        <v>0</v>
      </c>
      <c r="X11" s="2">
        <f>E11*Navires!$D$2</f>
        <v>0</v>
      </c>
      <c r="Y11" s="2">
        <f>F11*Navires!$E$2</f>
        <v>0</v>
      </c>
      <c r="Z11" s="2">
        <f>G11*Navires!$F$2</f>
        <v>0</v>
      </c>
      <c r="AA11" s="2">
        <f>H11*Navires!$G$2</f>
        <v>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0</v>
      </c>
      <c r="AM11" s="118" t="s">
        <v>43</v>
      </c>
      <c r="AN11" s="118">
        <f>C11*Navires!$B$6</f>
        <v>0</v>
      </c>
      <c r="AO11" s="118">
        <f>D11*Navires!$C$6</f>
        <v>0</v>
      </c>
      <c r="AP11" s="118">
        <f>E11*Navires!$D$6</f>
        <v>0</v>
      </c>
      <c r="AQ11" s="118">
        <f>F11*Navires!$E$6</f>
        <v>0</v>
      </c>
      <c r="AR11" s="118">
        <f>G11*Navires!$F$6</f>
        <v>0</v>
      </c>
      <c r="AS11" s="118">
        <f>H11*Navires!$G$6</f>
        <v>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0</v>
      </c>
      <c r="BE11" s="118" t="s">
        <v>43</v>
      </c>
      <c r="BF11" s="118">
        <f>C11*Navires!$B$6</f>
        <v>0</v>
      </c>
      <c r="BG11" s="118">
        <f>D11*Navires!$B$6</f>
        <v>0</v>
      </c>
      <c r="BH11" s="118">
        <f>E11*Navires!$B$6</f>
        <v>0</v>
      </c>
      <c r="BI11" s="118">
        <f>F11*Navires!$B$6</f>
        <v>0</v>
      </c>
      <c r="BJ11" s="118">
        <f>G11*Navires!$B$6</f>
        <v>0</v>
      </c>
      <c r="BK11" s="118">
        <f>H11*Navires!$B$6</f>
        <v>0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0</v>
      </c>
    </row>
    <row r="12" spans="1:73" x14ac:dyDescent="0.25">
      <c r="A12" t="s">
        <v>56</v>
      </c>
      <c r="B12" s="2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>
        <v>0</v>
      </c>
      <c r="N12" s="2"/>
      <c r="O12" s="2"/>
      <c r="P12" s="2"/>
      <c r="Q12" s="32"/>
      <c r="R12" s="34">
        <f t="shared" si="0"/>
        <v>0</v>
      </c>
      <c r="U12" s="2" t="s">
        <v>44</v>
      </c>
      <c r="V12" s="2">
        <f>C12*Navires!$B$2</f>
        <v>0</v>
      </c>
      <c r="W12" s="2">
        <f>D12*Navires!$C$2</f>
        <v>0</v>
      </c>
      <c r="X12" s="2">
        <f>E12*Navires!$D$2</f>
        <v>0</v>
      </c>
      <c r="Y12" s="2">
        <f>F12*Navires!$E$2</f>
        <v>0</v>
      </c>
      <c r="Z12" s="2">
        <f>G12*Navires!$F$2</f>
        <v>0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0</v>
      </c>
      <c r="AM12" s="118" t="s">
        <v>44</v>
      </c>
      <c r="AN12" s="118">
        <f>C12*Navires!$B$6</f>
        <v>0</v>
      </c>
      <c r="AO12" s="118">
        <f>D12*Navires!$C$6</f>
        <v>0</v>
      </c>
      <c r="AP12" s="118">
        <f>E12*Navires!$D$6</f>
        <v>0</v>
      </c>
      <c r="AQ12" s="118">
        <f>F12*Navires!$E$6</f>
        <v>0</v>
      </c>
      <c r="AR12" s="118">
        <f>G12*Navires!$F$6</f>
        <v>0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0</v>
      </c>
      <c r="BE12" s="118" t="s">
        <v>44</v>
      </c>
      <c r="BF12" s="118">
        <f>C12*Navires!$B$6</f>
        <v>0</v>
      </c>
      <c r="BG12" s="118">
        <f>D12*Navires!$B$6</f>
        <v>0</v>
      </c>
      <c r="BH12" s="118">
        <f>E12*Navires!$B$6</f>
        <v>0</v>
      </c>
      <c r="BI12" s="118">
        <f>F12*Navires!$B$6</f>
        <v>0</v>
      </c>
      <c r="BJ12" s="118">
        <f>G12*Navires!$B$6</f>
        <v>0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0</v>
      </c>
    </row>
    <row r="13" spans="1:73" x14ac:dyDescent="0.25">
      <c r="A13" t="s">
        <v>57</v>
      </c>
      <c r="B13" s="2" t="s">
        <v>45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>
        <v>0</v>
      </c>
      <c r="N13" s="2"/>
      <c r="O13" s="2"/>
      <c r="P13" s="2"/>
      <c r="Q13" s="32"/>
      <c r="R13" s="34">
        <f t="shared" si="0"/>
        <v>0</v>
      </c>
      <c r="U13" s="2" t="s">
        <v>45</v>
      </c>
      <c r="V13" s="2">
        <f>C13*Navires!$B$2</f>
        <v>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0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0</v>
      </c>
      <c r="AM13" s="118" t="s">
        <v>45</v>
      </c>
      <c r="AN13" s="118">
        <f>C13*Navires!$B$6</f>
        <v>0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0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0</v>
      </c>
      <c r="BE13" s="118" t="s">
        <v>45</v>
      </c>
      <c r="BF13" s="118">
        <f>C13*Navires!$B$6</f>
        <v>0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0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0</v>
      </c>
    </row>
    <row r="14" spans="1:73" x14ac:dyDescent="0.25">
      <c r="A14" t="s">
        <v>58</v>
      </c>
      <c r="B14" s="2" t="s">
        <v>46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>
        <v>0</v>
      </c>
      <c r="N14" s="2"/>
      <c r="O14" s="2"/>
      <c r="P14" s="2"/>
      <c r="Q14" s="32"/>
      <c r="R14" s="34">
        <f t="shared" si="0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>
        <v>0</v>
      </c>
      <c r="N15" s="2"/>
      <c r="O15" s="2"/>
      <c r="P15" s="2"/>
      <c r="Q15" s="32"/>
      <c r="R15" s="34">
        <f t="shared" si="0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0</v>
      </c>
      <c r="D16" s="30">
        <f t="shared" ref="D16:Q16" si="1">SUM(D4:D15)</f>
        <v>0</v>
      </c>
      <c r="E16" s="30">
        <f t="shared" si="1"/>
        <v>0</v>
      </c>
      <c r="F16" s="30">
        <f t="shared" si="1"/>
        <v>0</v>
      </c>
      <c r="G16" s="30">
        <f t="shared" si="1"/>
        <v>0</v>
      </c>
      <c r="H16" s="30">
        <f t="shared" si="1"/>
        <v>0</v>
      </c>
      <c r="I16" s="30">
        <f t="shared" si="1"/>
        <v>0</v>
      </c>
      <c r="J16" s="30">
        <f t="shared" si="1"/>
        <v>0</v>
      </c>
      <c r="K16" s="30">
        <f t="shared" si="1"/>
        <v>0</v>
      </c>
      <c r="L16" s="30">
        <f t="shared" si="1"/>
        <v>0</v>
      </c>
      <c r="M16" s="30">
        <f t="shared" si="1"/>
        <v>2</v>
      </c>
      <c r="N16" s="30">
        <f t="shared" si="1"/>
        <v>0</v>
      </c>
      <c r="O16" s="30">
        <f t="shared" si="1"/>
        <v>0</v>
      </c>
      <c r="P16" s="30">
        <f t="shared" si="1"/>
        <v>0</v>
      </c>
      <c r="Q16" s="30">
        <f t="shared" si="1"/>
        <v>0</v>
      </c>
      <c r="R16" s="34">
        <f t="shared" si="0"/>
        <v>2</v>
      </c>
      <c r="U16" s="29" t="s">
        <v>60</v>
      </c>
      <c r="V16" s="30">
        <f>SUM(V4:V15)</f>
        <v>0</v>
      </c>
      <c r="W16" s="30">
        <f t="shared" ref="W16:AJ16" si="2">SUM(W4:W15)</f>
        <v>0</v>
      </c>
      <c r="X16" s="30">
        <f t="shared" si="2"/>
        <v>0</v>
      </c>
      <c r="Y16" s="30">
        <f t="shared" si="2"/>
        <v>0</v>
      </c>
      <c r="Z16" s="30">
        <f t="shared" si="2"/>
        <v>0</v>
      </c>
      <c r="AA16" s="30">
        <f t="shared" si="2"/>
        <v>0</v>
      </c>
      <c r="AB16" s="30">
        <f t="shared" si="2"/>
        <v>0</v>
      </c>
      <c r="AC16" s="30">
        <f t="shared" si="2"/>
        <v>0</v>
      </c>
      <c r="AD16" s="30">
        <f t="shared" si="2"/>
        <v>0</v>
      </c>
      <c r="AE16" s="30">
        <f t="shared" si="2"/>
        <v>0</v>
      </c>
      <c r="AF16" s="30">
        <f t="shared" si="2"/>
        <v>3580</v>
      </c>
      <c r="AG16" s="30">
        <f t="shared" si="2"/>
        <v>0</v>
      </c>
      <c r="AH16" s="30">
        <f t="shared" si="2"/>
        <v>0</v>
      </c>
      <c r="AI16" s="30">
        <f t="shared" si="2"/>
        <v>0</v>
      </c>
      <c r="AJ16" s="30">
        <f t="shared" si="2"/>
        <v>0</v>
      </c>
      <c r="AM16" s="29" t="s">
        <v>60</v>
      </c>
      <c r="AN16" s="30">
        <f>SUM(AN4:AN15)</f>
        <v>0</v>
      </c>
      <c r="AO16" s="30">
        <f t="shared" ref="AO16:BB16" si="3">SUM(AO4:AO15)</f>
        <v>0</v>
      </c>
      <c r="AP16" s="30">
        <f t="shared" si="3"/>
        <v>0</v>
      </c>
      <c r="AQ16" s="30">
        <f t="shared" si="3"/>
        <v>0</v>
      </c>
      <c r="AR16" s="30">
        <f t="shared" si="3"/>
        <v>0</v>
      </c>
      <c r="AS16" s="30">
        <f t="shared" si="3"/>
        <v>0</v>
      </c>
      <c r="AT16" s="30">
        <f t="shared" si="3"/>
        <v>0</v>
      </c>
      <c r="AU16" s="30">
        <f t="shared" si="3"/>
        <v>0</v>
      </c>
      <c r="AV16" s="30">
        <f t="shared" si="3"/>
        <v>0</v>
      </c>
      <c r="AW16" s="30">
        <f t="shared" si="3"/>
        <v>0</v>
      </c>
      <c r="AX16" s="30">
        <f t="shared" si="3"/>
        <v>1360</v>
      </c>
      <c r="AY16" s="30">
        <f t="shared" si="3"/>
        <v>0</v>
      </c>
      <c r="AZ16" s="30">
        <f t="shared" si="3"/>
        <v>0</v>
      </c>
      <c r="BA16" s="30">
        <f t="shared" si="3"/>
        <v>0</v>
      </c>
      <c r="BB16" s="30">
        <f t="shared" si="3"/>
        <v>0</v>
      </c>
      <c r="BE16" s="29" t="s">
        <v>60</v>
      </c>
      <c r="BF16" s="30">
        <f>SUM(BF4:BF15)</f>
        <v>0</v>
      </c>
      <c r="BG16" s="30">
        <f t="shared" ref="BG16:BT16" si="4">SUM(BG4:BG15)</f>
        <v>0</v>
      </c>
      <c r="BH16" s="30">
        <f t="shared" si="4"/>
        <v>0</v>
      </c>
      <c r="BI16" s="30">
        <f t="shared" si="4"/>
        <v>0</v>
      </c>
      <c r="BJ16" s="30">
        <f t="shared" si="4"/>
        <v>0</v>
      </c>
      <c r="BK16" s="30">
        <f t="shared" si="4"/>
        <v>0</v>
      </c>
      <c r="BL16" s="30">
        <f t="shared" si="4"/>
        <v>0</v>
      </c>
      <c r="BM16" s="30">
        <f t="shared" si="4"/>
        <v>0</v>
      </c>
      <c r="BN16" s="30">
        <f t="shared" si="4"/>
        <v>0</v>
      </c>
      <c r="BO16" s="30">
        <f t="shared" si="4"/>
        <v>0</v>
      </c>
      <c r="BP16" s="30">
        <f t="shared" si="4"/>
        <v>1140.8</v>
      </c>
      <c r="BQ16" s="30">
        <f t="shared" si="4"/>
        <v>0</v>
      </c>
      <c r="BR16" s="30">
        <f t="shared" si="4"/>
        <v>0</v>
      </c>
      <c r="BS16" s="30">
        <f t="shared" si="4"/>
        <v>0</v>
      </c>
      <c r="BT16" s="30">
        <f t="shared" si="4"/>
        <v>0</v>
      </c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0</v>
      </c>
      <c r="N21" s="2"/>
      <c r="O21" s="2"/>
      <c r="P21" s="2"/>
      <c r="Q21" s="32"/>
      <c r="R21" s="34">
        <f>SUM(C21:Q21)</f>
        <v>0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0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0</v>
      </c>
    </row>
    <row r="22" spans="1:73" x14ac:dyDescent="0.25">
      <c r="A22" t="s">
        <v>49</v>
      </c>
      <c r="B22" s="2" t="s">
        <v>37</v>
      </c>
      <c r="C22" s="2"/>
      <c r="D22" s="2"/>
      <c r="F22" s="2"/>
      <c r="G22" s="2"/>
      <c r="H22" s="2"/>
      <c r="I22" s="2"/>
      <c r="J22" s="2"/>
      <c r="K22" s="2"/>
      <c r="L22" s="2"/>
      <c r="M22" s="2">
        <v>0</v>
      </c>
      <c r="N22" s="2"/>
      <c r="O22" s="2"/>
      <c r="P22" s="2"/>
      <c r="Q22" s="32"/>
      <c r="R22" s="34">
        <f t="shared" ref="R22:R33" si="5">SUM(C22:Q22)</f>
        <v>0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0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0</v>
      </c>
    </row>
    <row r="23" spans="1:73" x14ac:dyDescent="0.25">
      <c r="A23" t="s">
        <v>50</v>
      </c>
      <c r="B23" s="2" t="s">
        <v>38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0</v>
      </c>
      <c r="N23" s="2"/>
      <c r="O23" s="2"/>
      <c r="P23" s="2"/>
      <c r="Q23" s="32"/>
      <c r="R23" s="34">
        <f t="shared" si="5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v>0</v>
      </c>
      <c r="N24" s="2"/>
      <c r="O24" s="2"/>
      <c r="P24" s="2"/>
      <c r="Q24" s="32"/>
      <c r="R24" s="34">
        <f t="shared" si="5"/>
        <v>0</v>
      </c>
      <c r="U24" s="2" t="s">
        <v>39</v>
      </c>
      <c r="V24" s="2">
        <f>C24*Navires!$B$2</f>
        <v>0</v>
      </c>
      <c r="W24" s="2">
        <f>D24*Navires!$C$2</f>
        <v>0</v>
      </c>
      <c r="X24" s="2">
        <f>E24*Navires!$D$2</f>
        <v>0</v>
      </c>
      <c r="Y24" s="2">
        <f>F24*Navires!$E$2</f>
        <v>0</v>
      </c>
      <c r="Z24" s="2">
        <f>G24*Navires!$F$2</f>
        <v>0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0</v>
      </c>
      <c r="AM24" s="118" t="s">
        <v>39</v>
      </c>
      <c r="AN24" s="118">
        <f>C24*Navires!$B$6</f>
        <v>0</v>
      </c>
      <c r="AO24" s="118">
        <f>D24*Navires!$C$6</f>
        <v>0</v>
      </c>
      <c r="AP24" s="118">
        <f>E24*Navires!$D$6</f>
        <v>0</v>
      </c>
      <c r="AQ24" s="118">
        <f>F24*Navires!$E$6</f>
        <v>0</v>
      </c>
      <c r="AR24" s="118">
        <f>G24*Navires!$F$6</f>
        <v>0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0</v>
      </c>
      <c r="BE24" s="118" t="s">
        <v>39</v>
      </c>
      <c r="BF24" s="118">
        <f>C24*Navires!$B$6</f>
        <v>0</v>
      </c>
      <c r="BG24" s="118">
        <f>D24*Navires!$B$6</f>
        <v>0</v>
      </c>
      <c r="BH24" s="118">
        <f>E24*Navires!$B$6</f>
        <v>0</v>
      </c>
      <c r="BI24" s="118">
        <f>F24*Navires!$B$6</f>
        <v>0</v>
      </c>
      <c r="BJ24" s="118">
        <f>G24*Navires!$B$6</f>
        <v>0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0</v>
      </c>
    </row>
    <row r="25" spans="1:73" x14ac:dyDescent="0.25">
      <c r="A25" t="s">
        <v>52</v>
      </c>
      <c r="B25" s="2" t="s">
        <v>40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v>1</v>
      </c>
      <c r="N25" s="2"/>
      <c r="O25" s="2"/>
      <c r="P25" s="2"/>
      <c r="Q25" s="32"/>
      <c r="R25" s="34">
        <f t="shared" si="5"/>
        <v>1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0</v>
      </c>
      <c r="Z25" s="2">
        <f>G25*Navires!$F$2</f>
        <v>0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1790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1790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0</v>
      </c>
      <c r="AR25" s="118">
        <f>G25*Navires!$F$6</f>
        <v>0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680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204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0</v>
      </c>
      <c r="BJ25" s="118">
        <f>G25*Navires!$B$6</f>
        <v>0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570.4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969.68</v>
      </c>
    </row>
    <row r="26" spans="1:73" x14ac:dyDescent="0.25">
      <c r="A26" t="s">
        <v>53</v>
      </c>
      <c r="B26" s="2" t="s">
        <v>41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>
        <v>0</v>
      </c>
      <c r="N26" s="2"/>
      <c r="O26" s="2"/>
      <c r="P26" s="2"/>
      <c r="Q26" s="32"/>
      <c r="R26" s="34">
        <f t="shared" si="5"/>
        <v>0</v>
      </c>
      <c r="U26" s="2" t="s">
        <v>41</v>
      </c>
      <c r="V26" s="2">
        <f>C26*Navires!$B$2</f>
        <v>0</v>
      </c>
      <c r="W26" s="2">
        <f>D26*Navires!$C$2</f>
        <v>0</v>
      </c>
      <c r="X26" s="2">
        <f>E26*Navires!$D$2</f>
        <v>0</v>
      </c>
      <c r="Y26" s="2">
        <f>F26*Navires!$E$2</f>
        <v>0</v>
      </c>
      <c r="Z26" s="2">
        <f>G26*Navires!$F$2</f>
        <v>0</v>
      </c>
      <c r="AA26" s="2">
        <f>H26*Navires!$G$2</f>
        <v>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0</v>
      </c>
      <c r="AM26" s="118" t="s">
        <v>41</v>
      </c>
      <c r="AN26" s="118">
        <f>C26*Navires!$B$6</f>
        <v>0</v>
      </c>
      <c r="AO26" s="118">
        <f>D26*Navires!$C$6</f>
        <v>0</v>
      </c>
      <c r="AP26" s="118">
        <f>E26*Navires!$D$6</f>
        <v>0</v>
      </c>
      <c r="AQ26" s="118">
        <f>F26*Navires!$E$6</f>
        <v>0</v>
      </c>
      <c r="AR26" s="118">
        <f>G26*Navires!$F$6</f>
        <v>0</v>
      </c>
      <c r="AS26" s="118">
        <f>H26*Navires!$G$6</f>
        <v>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0</v>
      </c>
      <c r="BE26" s="118" t="s">
        <v>41</v>
      </c>
      <c r="BF26" s="118">
        <f>C26*Navires!$B$6</f>
        <v>0</v>
      </c>
      <c r="BG26" s="118">
        <f>D26*Navires!$B$6</f>
        <v>0</v>
      </c>
      <c r="BH26" s="118">
        <f>E26*Navires!$B$6</f>
        <v>0</v>
      </c>
      <c r="BI26" s="118">
        <f>F26*Navires!$B$6</f>
        <v>0</v>
      </c>
      <c r="BJ26" s="118">
        <f>G26*Navires!$B$6</f>
        <v>0</v>
      </c>
      <c r="BK26" s="118">
        <f>H26*Navires!$B$6</f>
        <v>0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0</v>
      </c>
    </row>
    <row r="27" spans="1:73" x14ac:dyDescent="0.25">
      <c r="A27" t="s">
        <v>54</v>
      </c>
      <c r="B27" s="2" t="s">
        <v>42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>
        <v>1</v>
      </c>
      <c r="N27" s="2"/>
      <c r="O27" s="2"/>
      <c r="P27" s="2"/>
      <c r="Q27" s="32"/>
      <c r="R27" s="34">
        <f t="shared" si="5"/>
        <v>1</v>
      </c>
      <c r="U27" s="2" t="s">
        <v>42</v>
      </c>
      <c r="V27" s="2">
        <f>C27*Navires!$B$2</f>
        <v>0</v>
      </c>
      <c r="W27" s="2">
        <f>D27*Navires!$C$2</f>
        <v>0</v>
      </c>
      <c r="X27" s="2">
        <f>E27*Navires!$D$2</f>
        <v>0</v>
      </c>
      <c r="Y27" s="2">
        <f>F27*Navires!$E$2</f>
        <v>0</v>
      </c>
      <c r="Z27" s="2">
        <f>G27*Navires!$F$2</f>
        <v>0</v>
      </c>
      <c r="AA27" s="2">
        <f>H27*Navires!$G$2</f>
        <v>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1790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1790</v>
      </c>
      <c r="AM27" s="118" t="s">
        <v>42</v>
      </c>
      <c r="AN27" s="118">
        <f>C27*Navires!$B$6</f>
        <v>0</v>
      </c>
      <c r="AO27" s="118">
        <f>D27*Navires!$C$6</f>
        <v>0</v>
      </c>
      <c r="AP27" s="118">
        <f>E27*Navires!$D$6</f>
        <v>0</v>
      </c>
      <c r="AQ27" s="118">
        <f>F27*Navires!$E$6</f>
        <v>0</v>
      </c>
      <c r="AR27" s="118">
        <f>G27*Navires!$F$6</f>
        <v>0</v>
      </c>
      <c r="AS27" s="118">
        <f>H27*Navires!$G$6</f>
        <v>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680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204</v>
      </c>
      <c r="BE27" s="118" t="s">
        <v>42</v>
      </c>
      <c r="BF27" s="118">
        <f>C27*Navires!$B$6</f>
        <v>0</v>
      </c>
      <c r="BG27" s="118">
        <f>D27*Navires!$B$6</f>
        <v>0</v>
      </c>
      <c r="BH27" s="118">
        <f>E27*Navires!$B$6</f>
        <v>0</v>
      </c>
      <c r="BI27" s="118">
        <f>F27*Navires!$B$6</f>
        <v>0</v>
      </c>
      <c r="BJ27" s="118">
        <f>G27*Navires!$B$6</f>
        <v>0</v>
      </c>
      <c r="BK27" s="118">
        <f>H27*Navires!$B$6</f>
        <v>0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570.4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969.68</v>
      </c>
    </row>
    <row r="28" spans="1:73" x14ac:dyDescent="0.25">
      <c r="A28" t="s">
        <v>55</v>
      </c>
      <c r="B28" s="2" t="s">
        <v>43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v>0</v>
      </c>
      <c r="N28" s="2"/>
      <c r="O28" s="2"/>
      <c r="P28" s="2">
        <v>5</v>
      </c>
      <c r="Q28" s="32"/>
      <c r="R28" s="34">
        <f t="shared" si="5"/>
        <v>5</v>
      </c>
      <c r="U28" s="2" t="s">
        <v>43</v>
      </c>
      <c r="V28" s="2">
        <f>C28*Navires!$B$2</f>
        <v>0</v>
      </c>
      <c r="W28" s="2">
        <f>D28*Navires!$C$2</f>
        <v>0</v>
      </c>
      <c r="X28" s="2">
        <f>E28*Navires!$D$2</f>
        <v>0</v>
      </c>
      <c r="Y28" s="2">
        <f>F28*Navires!$E$2</f>
        <v>0</v>
      </c>
      <c r="Z28" s="2">
        <f>G28*Navires!$F$2</f>
        <v>0</v>
      </c>
      <c r="AA28" s="2">
        <f>H28*Navires!$G$2</f>
        <v>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7500</v>
      </c>
      <c r="AJ28" s="2">
        <f>Q28*Navires!$P$2</f>
        <v>0</v>
      </c>
      <c r="AK28" s="35">
        <f>(SUM(V28:AJ28))*Générale!$B14</f>
        <v>7500</v>
      </c>
      <c r="AM28" s="118" t="s">
        <v>43</v>
      </c>
      <c r="AN28" s="118">
        <f>C28*Navires!$B$6</f>
        <v>0</v>
      </c>
      <c r="AO28" s="118">
        <f>D28*Navires!$C$6</f>
        <v>0</v>
      </c>
      <c r="AP28" s="118">
        <f>E28*Navires!$D$6</f>
        <v>0</v>
      </c>
      <c r="AQ28" s="118">
        <f>F28*Navires!$E$6</f>
        <v>0</v>
      </c>
      <c r="AR28" s="118">
        <f>G28*Navires!$F$6</f>
        <v>0</v>
      </c>
      <c r="AS28" s="118">
        <f>H28*Navires!$G$6</f>
        <v>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3200</v>
      </c>
      <c r="BB28" s="118">
        <f>Q28*Navires!$P$6</f>
        <v>0</v>
      </c>
      <c r="BC28" s="185">
        <f>SUM(AN28:BB28)*Générale!$B$26</f>
        <v>960</v>
      </c>
      <c r="BE28" s="118" t="s">
        <v>43</v>
      </c>
      <c r="BF28" s="118">
        <f>C28*Navires!$B$6</f>
        <v>0</v>
      </c>
      <c r="BG28" s="118">
        <f>D28*Navires!$B$6</f>
        <v>0</v>
      </c>
      <c r="BH28" s="118">
        <f>E28*Navires!$B$6</f>
        <v>0</v>
      </c>
      <c r="BI28" s="118">
        <f>F28*Navires!$B$6</f>
        <v>0</v>
      </c>
      <c r="BJ28" s="118">
        <f>G28*Navires!$B$6</f>
        <v>0</v>
      </c>
      <c r="BK28" s="118">
        <f>H28*Navires!$B$6</f>
        <v>0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2852</v>
      </c>
      <c r="BT28" s="118">
        <f>Q28*Navires!$B$6</f>
        <v>0</v>
      </c>
      <c r="BU28" s="185">
        <f>SUM(BF28:BT28)*Générale!$B$22</f>
        <v>4848.3999999999996</v>
      </c>
    </row>
    <row r="29" spans="1:73" x14ac:dyDescent="0.25">
      <c r="A29" t="s">
        <v>56</v>
      </c>
      <c r="B29" s="2" t="s">
        <v>44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/>
      <c r="O29" s="2"/>
      <c r="P29" s="2"/>
      <c r="Q29" s="32"/>
      <c r="R29" s="34">
        <f t="shared" si="5"/>
        <v>0</v>
      </c>
      <c r="U29" s="2" t="s">
        <v>44</v>
      </c>
      <c r="V29" s="2">
        <f>C29*Navires!$B$2</f>
        <v>0</v>
      </c>
      <c r="W29" s="2">
        <f>D29*Navires!$C$2</f>
        <v>0</v>
      </c>
      <c r="X29" s="2">
        <f>E29*Navires!$D$2</f>
        <v>0</v>
      </c>
      <c r="Y29" s="2">
        <f>F29*Navires!$E$2</f>
        <v>0</v>
      </c>
      <c r="Z29" s="2">
        <f>G29*Navires!$F$2</f>
        <v>0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0</v>
      </c>
      <c r="AM29" s="118" t="s">
        <v>44</v>
      </c>
      <c r="AN29" s="118">
        <f>C29*Navires!$B$6</f>
        <v>0</v>
      </c>
      <c r="AO29" s="118">
        <f>D29*Navires!$C$6</f>
        <v>0</v>
      </c>
      <c r="AP29" s="118">
        <f>E29*Navires!$D$6</f>
        <v>0</v>
      </c>
      <c r="AQ29" s="118">
        <f>F29*Navires!$E$6</f>
        <v>0</v>
      </c>
      <c r="AR29" s="118">
        <f>G29*Navires!$F$6</f>
        <v>0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0</v>
      </c>
      <c r="BE29" s="118" t="s">
        <v>44</v>
      </c>
      <c r="BF29" s="118">
        <f>C29*Navires!$B$6</f>
        <v>0</v>
      </c>
      <c r="BG29" s="118">
        <f>D29*Navires!$B$6</f>
        <v>0</v>
      </c>
      <c r="BH29" s="118">
        <f>E29*Navires!$B$6</f>
        <v>0</v>
      </c>
      <c r="BI29" s="118">
        <f>F29*Navires!$B$6</f>
        <v>0</v>
      </c>
      <c r="BJ29" s="118">
        <f>G29*Navires!$B$6</f>
        <v>0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0</v>
      </c>
    </row>
    <row r="30" spans="1:73" x14ac:dyDescent="0.25">
      <c r="A30" t="s">
        <v>57</v>
      </c>
      <c r="B30" s="2" t="s">
        <v>45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>
        <v>0</v>
      </c>
      <c r="N30" s="2"/>
      <c r="O30" s="2"/>
      <c r="P30" s="2"/>
      <c r="Q30" s="32"/>
      <c r="R30" s="34">
        <f t="shared" si="5"/>
        <v>0</v>
      </c>
      <c r="U30" s="2" t="s">
        <v>45</v>
      </c>
      <c r="V30" s="2">
        <f>C30*Navires!$B$2</f>
        <v>0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0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0</v>
      </c>
      <c r="AM30" s="118" t="s">
        <v>45</v>
      </c>
      <c r="AN30" s="118">
        <f>C30*Navires!$B$6</f>
        <v>0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0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0</v>
      </c>
      <c r="BE30" s="118" t="s">
        <v>45</v>
      </c>
      <c r="BF30" s="118">
        <f>C30*Navires!$B$6</f>
        <v>0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0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0</v>
      </c>
    </row>
    <row r="31" spans="1:73" x14ac:dyDescent="0.25">
      <c r="A31" t="s">
        <v>58</v>
      </c>
      <c r="B31" s="2" t="s">
        <v>46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>
        <v>0</v>
      </c>
      <c r="N31" s="2"/>
      <c r="O31" s="2"/>
      <c r="P31" s="2"/>
      <c r="Q31" s="32"/>
      <c r="R31" s="34">
        <f t="shared" si="5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>
        <v>0</v>
      </c>
      <c r="N32" s="2"/>
      <c r="O32" s="2"/>
      <c r="P32" s="2"/>
      <c r="Q32" s="32"/>
      <c r="R32" s="34">
        <f t="shared" si="5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0</v>
      </c>
      <c r="D33" s="34">
        <f t="shared" ref="D33:E33" si="6">SUM(D21:D32)</f>
        <v>0</v>
      </c>
      <c r="E33" s="34">
        <f t="shared" si="6"/>
        <v>0</v>
      </c>
      <c r="F33" s="34">
        <f>SUM(F21:F32)</f>
        <v>0</v>
      </c>
      <c r="G33" s="34">
        <f>SUM(G21:G32)</f>
        <v>0</v>
      </c>
      <c r="H33" s="34">
        <f t="shared" ref="H33:Q33" si="7">SUM(H21:H32)</f>
        <v>0</v>
      </c>
      <c r="I33" s="34">
        <f t="shared" si="7"/>
        <v>0</v>
      </c>
      <c r="J33" s="34">
        <f t="shared" si="7"/>
        <v>0</v>
      </c>
      <c r="K33" s="34">
        <f t="shared" si="7"/>
        <v>0</v>
      </c>
      <c r="L33" s="34">
        <f t="shared" si="7"/>
        <v>0</v>
      </c>
      <c r="M33" s="34">
        <f t="shared" si="7"/>
        <v>2</v>
      </c>
      <c r="N33" s="34">
        <f t="shared" si="7"/>
        <v>0</v>
      </c>
      <c r="O33" s="34">
        <f t="shared" si="7"/>
        <v>0</v>
      </c>
      <c r="P33" s="34">
        <f t="shared" si="7"/>
        <v>5</v>
      </c>
      <c r="Q33" s="34">
        <f t="shared" si="7"/>
        <v>0</v>
      </c>
      <c r="R33" s="34">
        <f t="shared" si="5"/>
        <v>7</v>
      </c>
      <c r="U33" s="34" t="s">
        <v>60</v>
      </c>
      <c r="V33" s="34">
        <f>SUM(V21:V32)</f>
        <v>0</v>
      </c>
      <c r="W33" s="34">
        <f t="shared" ref="W33:AJ33" si="8">SUM(W21:W32)</f>
        <v>0</v>
      </c>
      <c r="X33" s="34">
        <f t="shared" si="8"/>
        <v>0</v>
      </c>
      <c r="Y33" s="34">
        <f t="shared" si="8"/>
        <v>0</v>
      </c>
      <c r="Z33" s="34">
        <f t="shared" si="8"/>
        <v>0</v>
      </c>
      <c r="AA33" s="34">
        <f t="shared" si="8"/>
        <v>0</v>
      </c>
      <c r="AB33" s="34">
        <f t="shared" si="8"/>
        <v>0</v>
      </c>
      <c r="AC33" s="34">
        <f t="shared" si="8"/>
        <v>0</v>
      </c>
      <c r="AD33" s="34">
        <f t="shared" si="8"/>
        <v>0</v>
      </c>
      <c r="AE33" s="34">
        <f t="shared" si="8"/>
        <v>0</v>
      </c>
      <c r="AF33" s="34">
        <f t="shared" si="8"/>
        <v>3580</v>
      </c>
      <c r="AG33" s="34">
        <f t="shared" si="8"/>
        <v>0</v>
      </c>
      <c r="AH33" s="34">
        <f t="shared" si="8"/>
        <v>0</v>
      </c>
      <c r="AI33" s="34">
        <f t="shared" si="8"/>
        <v>7500</v>
      </c>
      <c r="AJ33" s="34">
        <f t="shared" si="8"/>
        <v>0</v>
      </c>
      <c r="AK33" s="121"/>
      <c r="AM33" s="34" t="s">
        <v>60</v>
      </c>
      <c r="AN33" s="34">
        <f>SUM(AN21:AN32)</f>
        <v>0</v>
      </c>
      <c r="AO33" s="34">
        <f t="shared" ref="AO33:BB33" si="9">SUM(AO21:AO32)</f>
        <v>0</v>
      </c>
      <c r="AP33" s="34">
        <f t="shared" si="9"/>
        <v>0</v>
      </c>
      <c r="AQ33" s="34">
        <f t="shared" si="9"/>
        <v>0</v>
      </c>
      <c r="AR33" s="34">
        <f t="shared" si="9"/>
        <v>0</v>
      </c>
      <c r="AS33" s="34">
        <f t="shared" si="9"/>
        <v>0</v>
      </c>
      <c r="AT33" s="34">
        <f t="shared" si="9"/>
        <v>0</v>
      </c>
      <c r="AU33" s="34">
        <f t="shared" si="9"/>
        <v>0</v>
      </c>
      <c r="AV33" s="34">
        <f t="shared" si="9"/>
        <v>0</v>
      </c>
      <c r="AW33" s="34">
        <f t="shared" si="9"/>
        <v>0</v>
      </c>
      <c r="AX33" s="34">
        <f t="shared" si="9"/>
        <v>1360</v>
      </c>
      <c r="AY33" s="34">
        <f t="shared" si="9"/>
        <v>0</v>
      </c>
      <c r="AZ33" s="34">
        <f t="shared" si="9"/>
        <v>0</v>
      </c>
      <c r="BA33" s="34">
        <f t="shared" si="9"/>
        <v>3200</v>
      </c>
      <c r="BB33" s="34">
        <f t="shared" si="9"/>
        <v>0</v>
      </c>
      <c r="BC33" s="118"/>
      <c r="BE33" s="34" t="s">
        <v>60</v>
      </c>
      <c r="BF33" s="118">
        <f>C33*Navires!$B$6</f>
        <v>0</v>
      </c>
      <c r="BG33" s="118">
        <f>D33*Navires!$B$6</f>
        <v>0</v>
      </c>
      <c r="BH33" s="118">
        <f>E33*Navires!$B$6</f>
        <v>0</v>
      </c>
      <c r="BI33" s="118">
        <f>F33*Navires!$B$6</f>
        <v>0</v>
      </c>
      <c r="BJ33" s="118">
        <f>G33*Navires!$B$6</f>
        <v>0</v>
      </c>
      <c r="BK33" s="118">
        <f>H33*Navires!$B$6</f>
        <v>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1140.8</v>
      </c>
      <c r="BQ33" s="118">
        <f>N33*Navires!$B$6</f>
        <v>0</v>
      </c>
      <c r="BR33" s="118">
        <f>O33*Navires!$B$6</f>
        <v>0</v>
      </c>
      <c r="BS33" s="118">
        <f>P33*Navires!$B$6</f>
        <v>2852</v>
      </c>
      <c r="BT33" s="118">
        <f>Q33*Navires!$B$6</f>
        <v>0</v>
      </c>
      <c r="BU33" s="118"/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8"/>
  <sheetViews>
    <sheetView topLeftCell="BF16" workbookViewId="0">
      <selection activeCell="BU16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/>
      <c r="K4" s="2"/>
      <c r="L4" s="2"/>
      <c r="M4" s="2"/>
      <c r="N4" s="2"/>
      <c r="O4" s="2"/>
      <c r="P4" s="2"/>
      <c r="Q4" s="32"/>
      <c r="R4" s="34">
        <f>SUM(C4:Q4)</f>
        <v>0</v>
      </c>
      <c r="S4" s="82">
        <f>R4/R36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t="s">
        <v>49</v>
      </c>
      <c r="B5" s="2" t="s">
        <v>37</v>
      </c>
      <c r="C5" s="2">
        <v>0</v>
      </c>
      <c r="D5" s="2">
        <v>0</v>
      </c>
      <c r="E5">
        <v>0</v>
      </c>
      <c r="F5" s="2">
        <v>0</v>
      </c>
      <c r="G5" s="2">
        <v>0</v>
      </c>
      <c r="H5" s="2">
        <v>0</v>
      </c>
      <c r="I5" s="2">
        <v>0</v>
      </c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0</v>
      </c>
      <c r="S5" s="82">
        <f t="shared" ref="S5:S16" si="1">R5/R37</f>
        <v>0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0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0</v>
      </c>
    </row>
    <row r="6" spans="1:73" x14ac:dyDescent="0.25">
      <c r="A6" t="s">
        <v>50</v>
      </c>
      <c r="B6" s="2" t="s">
        <v>38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/>
      <c r="K6" s="2"/>
      <c r="L6" s="2"/>
      <c r="M6" s="2"/>
      <c r="N6" s="2"/>
      <c r="O6" s="2"/>
      <c r="P6" s="2"/>
      <c r="Q6" s="32"/>
      <c r="R6" s="34">
        <f t="shared" si="0"/>
        <v>0</v>
      </c>
      <c r="S6" s="82">
        <f t="shared" si="1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/>
      <c r="K7" s="2"/>
      <c r="L7" s="2"/>
      <c r="M7" s="2"/>
      <c r="N7" s="2"/>
      <c r="O7" s="2"/>
      <c r="P7" s="2"/>
      <c r="Q7" s="32"/>
      <c r="R7" s="34">
        <f t="shared" si="0"/>
        <v>0</v>
      </c>
      <c r="S7" s="82">
        <f t="shared" si="1"/>
        <v>0</v>
      </c>
      <c r="U7" s="2" t="s">
        <v>39</v>
      </c>
      <c r="V7" s="2">
        <f>C7*Navires!$B$2</f>
        <v>0</v>
      </c>
      <c r="W7" s="2">
        <f>D7*Navires!$C$2</f>
        <v>0</v>
      </c>
      <c r="X7" s="2">
        <f>E7*Navires!$D$2</f>
        <v>0</v>
      </c>
      <c r="Y7" s="2">
        <f>F7*Navires!$E$2</f>
        <v>0</v>
      </c>
      <c r="Z7" s="2">
        <f>G7*Navires!$F$2</f>
        <v>0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0</v>
      </c>
      <c r="AM7" s="118" t="s">
        <v>39</v>
      </c>
      <c r="AN7" s="118">
        <f>C7*Navires!$B$6</f>
        <v>0</v>
      </c>
      <c r="AO7" s="118">
        <f>D7*Navires!$C$6</f>
        <v>0</v>
      </c>
      <c r="AP7" s="118">
        <f>E7*Navires!$D$6</f>
        <v>0</v>
      </c>
      <c r="AQ7" s="118">
        <f>F7*Navires!$E$6</f>
        <v>0</v>
      </c>
      <c r="AR7" s="118">
        <f>G7*Navires!$F$6</f>
        <v>0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0</v>
      </c>
      <c r="BE7" s="118" t="s">
        <v>39</v>
      </c>
      <c r="BF7" s="118">
        <f>C7*Navires!$B$6</f>
        <v>0</v>
      </c>
      <c r="BG7" s="118">
        <f>D7*Navires!$B$6</f>
        <v>0</v>
      </c>
      <c r="BH7" s="118">
        <f>E7*Navires!$B$6</f>
        <v>0</v>
      </c>
      <c r="BI7" s="118">
        <f>F7*Navires!$B$6</f>
        <v>0</v>
      </c>
      <c r="BJ7" s="118">
        <f>G7*Navires!$B$6</f>
        <v>0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0</v>
      </c>
    </row>
    <row r="8" spans="1:73" x14ac:dyDescent="0.25">
      <c r="A8" t="s">
        <v>52</v>
      </c>
      <c r="B8" s="2" t="s">
        <v>40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/>
      <c r="K8" s="2"/>
      <c r="L8" s="2"/>
      <c r="M8" s="2"/>
      <c r="N8" s="2"/>
      <c r="O8" s="2"/>
      <c r="P8" s="2"/>
      <c r="Q8" s="32"/>
      <c r="R8" s="34">
        <f t="shared" si="0"/>
        <v>0</v>
      </c>
      <c r="S8" s="82">
        <f t="shared" si="1"/>
        <v>0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0</v>
      </c>
      <c r="Z8" s="2">
        <f>G8*Navires!$F$2</f>
        <v>0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0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0</v>
      </c>
      <c r="AR8" s="118">
        <f>G8*Navires!$F$6</f>
        <v>0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0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0</v>
      </c>
      <c r="BJ8" s="118">
        <f>G8*Navires!$B$6</f>
        <v>0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0</v>
      </c>
    </row>
    <row r="9" spans="1:73" x14ac:dyDescent="0.25">
      <c r="A9" t="s">
        <v>53</v>
      </c>
      <c r="B9" s="2" t="s">
        <v>41</v>
      </c>
      <c r="C9" s="2">
        <v>0</v>
      </c>
      <c r="D9" s="2">
        <v>0</v>
      </c>
      <c r="E9" s="2">
        <v>0</v>
      </c>
      <c r="F9" s="2">
        <v>1</v>
      </c>
      <c r="G9" s="2">
        <v>1</v>
      </c>
      <c r="H9" s="2">
        <v>0</v>
      </c>
      <c r="I9" s="2">
        <v>1</v>
      </c>
      <c r="J9" s="2"/>
      <c r="K9" s="2"/>
      <c r="L9" s="2"/>
      <c r="M9" s="2"/>
      <c r="N9" s="2"/>
      <c r="O9" s="2"/>
      <c r="P9" s="2"/>
      <c r="Q9" s="32"/>
      <c r="R9" s="34">
        <f t="shared" si="0"/>
        <v>3</v>
      </c>
      <c r="S9" s="82">
        <f t="shared" si="1"/>
        <v>0.7009345794392523</v>
      </c>
      <c r="U9" s="2" t="s">
        <v>41</v>
      </c>
      <c r="V9" s="2">
        <f>C9*Navires!$B$2</f>
        <v>0</v>
      </c>
      <c r="W9" s="2">
        <f>D9*Navires!$C$2</f>
        <v>0</v>
      </c>
      <c r="X9" s="2">
        <f>E9*Navires!$D$2</f>
        <v>0</v>
      </c>
      <c r="Y9" s="2">
        <f>F9*Navires!$E$2</f>
        <v>1880</v>
      </c>
      <c r="Z9" s="2">
        <f>G9*Navires!$F$2</f>
        <v>1896</v>
      </c>
      <c r="AA9" s="2">
        <f>H9*Navires!$G$2</f>
        <v>0</v>
      </c>
      <c r="AB9" s="2">
        <f>I9*Navires!$H$2</f>
        <v>2000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5776</v>
      </c>
      <c r="AM9" s="118" t="s">
        <v>41</v>
      </c>
      <c r="AN9" s="118">
        <f>C9*Navires!$B$6</f>
        <v>0</v>
      </c>
      <c r="AO9" s="118">
        <f>D9*Navires!$C$6</f>
        <v>0</v>
      </c>
      <c r="AP9" s="118">
        <f>E9*Navires!$D$6</f>
        <v>0</v>
      </c>
      <c r="AQ9" s="118">
        <f>F9*Navires!$E$6</f>
        <v>1228</v>
      </c>
      <c r="AR9" s="118">
        <f>G9*Navires!$F$6</f>
        <v>680.80000000000007</v>
      </c>
      <c r="AS9" s="118">
        <f>H9*Navires!$G$6</f>
        <v>0</v>
      </c>
      <c r="AT9" s="118">
        <f>I9*Navires!$H$6</f>
        <v>680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776.64</v>
      </c>
      <c r="BE9" s="118" t="s">
        <v>41</v>
      </c>
      <c r="BF9" s="118">
        <f>C9*Navires!$B$6</f>
        <v>0</v>
      </c>
      <c r="BG9" s="118">
        <f>D9*Navires!$B$6</f>
        <v>0</v>
      </c>
      <c r="BH9" s="118">
        <f>E9*Navires!$B$6</f>
        <v>0</v>
      </c>
      <c r="BI9" s="118">
        <f>F9*Navires!$B$6</f>
        <v>570.4</v>
      </c>
      <c r="BJ9" s="118">
        <f>G9*Navires!$B$6</f>
        <v>570.4</v>
      </c>
      <c r="BK9" s="118">
        <f>H9*Navires!$B$6</f>
        <v>0</v>
      </c>
      <c r="BL9" s="118">
        <f>I9*Navires!$B$6</f>
        <v>570.4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2909.0399999999995</v>
      </c>
    </row>
    <row r="10" spans="1:73" x14ac:dyDescent="0.25">
      <c r="A10" t="s">
        <v>54</v>
      </c>
      <c r="B10" s="2" t="s">
        <v>42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/>
      <c r="K10" s="2"/>
      <c r="L10" s="2"/>
      <c r="M10" s="2"/>
      <c r="N10" s="2"/>
      <c r="O10" s="2"/>
      <c r="P10" s="2"/>
      <c r="Q10" s="32"/>
      <c r="R10" s="34">
        <f t="shared" si="0"/>
        <v>0</v>
      </c>
      <c r="S10" s="82">
        <f t="shared" si="1"/>
        <v>0</v>
      </c>
      <c r="U10" s="2" t="s">
        <v>42</v>
      </c>
      <c r="V10" s="2">
        <f>C10*Navires!$B$2</f>
        <v>0</v>
      </c>
      <c r="W10" s="2">
        <f>D10*Navires!$C$2</f>
        <v>0</v>
      </c>
      <c r="X10" s="2">
        <f>E10*Navires!$D$2</f>
        <v>0</v>
      </c>
      <c r="Y10" s="2">
        <f>F10*Navires!$E$2</f>
        <v>0</v>
      </c>
      <c r="Z10" s="2">
        <f>G10*Navires!$F$2</f>
        <v>0</v>
      </c>
      <c r="AA10" s="2">
        <f>H10*Navires!$G$2</f>
        <v>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0</v>
      </c>
      <c r="AM10" s="118" t="s">
        <v>42</v>
      </c>
      <c r="AN10" s="118">
        <f>C10*Navires!$B$6</f>
        <v>0</v>
      </c>
      <c r="AO10" s="118">
        <f>D10*Navires!$C$6</f>
        <v>0</v>
      </c>
      <c r="AP10" s="118">
        <f>E10*Navires!$D$6</f>
        <v>0</v>
      </c>
      <c r="AQ10" s="118">
        <f>F10*Navires!$E$6</f>
        <v>0</v>
      </c>
      <c r="AR10" s="118">
        <f>G10*Navires!$F$6</f>
        <v>0</v>
      </c>
      <c r="AS10" s="118">
        <f>H10*Navires!$G$6</f>
        <v>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0</v>
      </c>
      <c r="BE10" s="118" t="s">
        <v>42</v>
      </c>
      <c r="BF10" s="118">
        <f>C10*Navires!$B$6</f>
        <v>0</v>
      </c>
      <c r="BG10" s="118">
        <f>D10*Navires!$B$6</f>
        <v>0</v>
      </c>
      <c r="BH10" s="118">
        <f>E10*Navires!$B$6</f>
        <v>0</v>
      </c>
      <c r="BI10" s="118">
        <f>F10*Navires!$B$6</f>
        <v>0</v>
      </c>
      <c r="BJ10" s="118">
        <f>G10*Navires!$B$6</f>
        <v>0</v>
      </c>
      <c r="BK10" s="118">
        <f>H10*Navires!$B$6</f>
        <v>0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0</v>
      </c>
    </row>
    <row r="11" spans="1:73" x14ac:dyDescent="0.25">
      <c r="A11" t="s">
        <v>55</v>
      </c>
      <c r="B11" s="2" t="s">
        <v>43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/>
      <c r="K11" s="2"/>
      <c r="L11" s="2"/>
      <c r="M11" s="2"/>
      <c r="N11" s="2"/>
      <c r="O11" s="2"/>
      <c r="P11" s="2"/>
      <c r="Q11" s="32"/>
      <c r="R11" s="34">
        <f t="shared" si="0"/>
        <v>0</v>
      </c>
      <c r="S11" s="82">
        <f t="shared" si="1"/>
        <v>0</v>
      </c>
      <c r="U11" s="2" t="s">
        <v>43</v>
      </c>
      <c r="V11" s="2">
        <f>C11*Navires!$B$2</f>
        <v>0</v>
      </c>
      <c r="W11" s="2">
        <f>D11*Navires!$C$2</f>
        <v>0</v>
      </c>
      <c r="X11" s="2">
        <f>E11*Navires!$D$2</f>
        <v>0</v>
      </c>
      <c r="Y11" s="2">
        <f>F11*Navires!$E$2</f>
        <v>0</v>
      </c>
      <c r="Z11" s="2">
        <f>G11*Navires!$F$2</f>
        <v>0</v>
      </c>
      <c r="AA11" s="2">
        <f>H11*Navires!$G$2</f>
        <v>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0</v>
      </c>
      <c r="AM11" s="118" t="s">
        <v>43</v>
      </c>
      <c r="AN11" s="118">
        <f>C11*Navires!$B$6</f>
        <v>0</v>
      </c>
      <c r="AO11" s="118">
        <f>D11*Navires!$C$6</f>
        <v>0</v>
      </c>
      <c r="AP11" s="118">
        <f>E11*Navires!$D$6</f>
        <v>0</v>
      </c>
      <c r="AQ11" s="118">
        <f>F11*Navires!$E$6</f>
        <v>0</v>
      </c>
      <c r="AR11" s="118">
        <f>G11*Navires!$F$6</f>
        <v>0</v>
      </c>
      <c r="AS11" s="118">
        <f>H11*Navires!$G$6</f>
        <v>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0</v>
      </c>
      <c r="BE11" s="118" t="s">
        <v>43</v>
      </c>
      <c r="BF11" s="118">
        <f>C11*Navires!$B$6</f>
        <v>0</v>
      </c>
      <c r="BG11" s="118">
        <f>D11*Navires!$B$6</f>
        <v>0</v>
      </c>
      <c r="BH11" s="118">
        <f>E11*Navires!$B$6</f>
        <v>0</v>
      </c>
      <c r="BI11" s="118">
        <f>F11*Navires!$B$6</f>
        <v>0</v>
      </c>
      <c r="BJ11" s="118">
        <f>G11*Navires!$B$6</f>
        <v>0</v>
      </c>
      <c r="BK11" s="118">
        <f>H11*Navires!$B$6</f>
        <v>0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0</v>
      </c>
    </row>
    <row r="12" spans="1:73" x14ac:dyDescent="0.25">
      <c r="A12" t="s">
        <v>56</v>
      </c>
      <c r="B12" s="2" t="s">
        <v>44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/>
      <c r="K12" s="2"/>
      <c r="L12" s="2"/>
      <c r="M12" s="2"/>
      <c r="N12" s="2"/>
      <c r="O12" s="2"/>
      <c r="P12" s="2"/>
      <c r="Q12" s="32"/>
      <c r="R12" s="34">
        <f t="shared" si="0"/>
        <v>1</v>
      </c>
      <c r="S12" s="82">
        <f t="shared" si="1"/>
        <v>0.23364485981308411</v>
      </c>
      <c r="U12" s="2" t="s">
        <v>44</v>
      </c>
      <c r="V12" s="2">
        <f>C12*Navires!$B$2</f>
        <v>0</v>
      </c>
      <c r="W12" s="2">
        <f>D12*Navires!$C$2</f>
        <v>0</v>
      </c>
      <c r="X12" s="2">
        <f>E12*Navires!$D$2</f>
        <v>0</v>
      </c>
      <c r="Y12" s="2">
        <f>F12*Navires!$E$2</f>
        <v>0</v>
      </c>
      <c r="Z12" s="2">
        <f>G12*Navires!$F$2</f>
        <v>1896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1896</v>
      </c>
      <c r="AM12" s="118" t="s">
        <v>44</v>
      </c>
      <c r="AN12" s="118">
        <f>C12*Navires!$B$6</f>
        <v>0</v>
      </c>
      <c r="AO12" s="118">
        <f>D12*Navires!$C$6</f>
        <v>0</v>
      </c>
      <c r="AP12" s="118">
        <f>E12*Navires!$D$6</f>
        <v>0</v>
      </c>
      <c r="AQ12" s="118">
        <f>F12*Navires!$E$6</f>
        <v>0</v>
      </c>
      <c r="AR12" s="118">
        <f>G12*Navires!$F$6</f>
        <v>680.80000000000007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204.24</v>
      </c>
      <c r="BE12" s="118" t="s">
        <v>44</v>
      </c>
      <c r="BF12" s="118">
        <f>C12*Navires!$B$6</f>
        <v>0</v>
      </c>
      <c r="BG12" s="118">
        <f>D12*Navires!$B$6</f>
        <v>0</v>
      </c>
      <c r="BH12" s="118">
        <f>E12*Navires!$B$6</f>
        <v>0</v>
      </c>
      <c r="BI12" s="118">
        <f>F12*Navires!$B$6</f>
        <v>0</v>
      </c>
      <c r="BJ12" s="118">
        <f>G12*Navires!$B$6</f>
        <v>570.4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969.68</v>
      </c>
    </row>
    <row r="13" spans="1:73" x14ac:dyDescent="0.25">
      <c r="A13" t="s">
        <v>57</v>
      </c>
      <c r="B13" s="2" t="s">
        <v>45</v>
      </c>
      <c r="C13" s="2">
        <v>5</v>
      </c>
      <c r="D13" s="2">
        <v>0</v>
      </c>
      <c r="E13" s="2">
        <v>0</v>
      </c>
      <c r="F13" s="2">
        <v>4</v>
      </c>
      <c r="G13" s="2">
        <v>1</v>
      </c>
      <c r="H13" s="2">
        <v>0</v>
      </c>
      <c r="I13" s="2">
        <v>0</v>
      </c>
      <c r="J13" s="2"/>
      <c r="K13" s="2"/>
      <c r="L13" s="2"/>
      <c r="M13" s="2"/>
      <c r="N13" s="2"/>
      <c r="O13" s="2"/>
      <c r="P13" s="2"/>
      <c r="Q13" s="32"/>
      <c r="R13" s="34">
        <f t="shared" si="0"/>
        <v>10</v>
      </c>
      <c r="S13" s="82">
        <f t="shared" si="1"/>
        <v>2.2573363431151243</v>
      </c>
      <c r="U13" s="2" t="s">
        <v>45</v>
      </c>
      <c r="V13" s="2">
        <f>C13*Navires!$B$2</f>
        <v>9775</v>
      </c>
      <c r="W13" s="2">
        <f>D13*Navires!$C$2</f>
        <v>0</v>
      </c>
      <c r="X13" s="2">
        <f>E13*Navires!$D$2</f>
        <v>0</v>
      </c>
      <c r="Y13" s="2">
        <f>F13*Navires!$E$2</f>
        <v>7520</v>
      </c>
      <c r="Z13" s="2">
        <f>G13*Navires!$F$2</f>
        <v>1896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19191</v>
      </c>
      <c r="AM13" s="118" t="s">
        <v>45</v>
      </c>
      <c r="AN13" s="118">
        <f>C13*Navires!$B$6</f>
        <v>2852</v>
      </c>
      <c r="AO13" s="118">
        <f>D13*Navires!$C$6</f>
        <v>0</v>
      </c>
      <c r="AP13" s="118">
        <f>E13*Navires!$D$6</f>
        <v>0</v>
      </c>
      <c r="AQ13" s="118">
        <f>F13*Navires!$E$6</f>
        <v>4912</v>
      </c>
      <c r="AR13" s="118">
        <f>G13*Navires!$F$6</f>
        <v>680.80000000000007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4222.3999999999996</v>
      </c>
      <c r="BE13" s="118" t="s">
        <v>45</v>
      </c>
      <c r="BF13" s="118">
        <f>C13*Navires!$B$6</f>
        <v>2852</v>
      </c>
      <c r="BG13" s="118">
        <f>D13*Navires!$B$6</f>
        <v>0</v>
      </c>
      <c r="BH13" s="118">
        <f>E13*Navires!$B$6</f>
        <v>0</v>
      </c>
      <c r="BI13" s="118">
        <f>F13*Navires!$B$6</f>
        <v>2281.6</v>
      </c>
      <c r="BJ13" s="118">
        <f>G13*Navires!$B$6</f>
        <v>570.4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9696.7999999999993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/>
      <c r="L14" s="2"/>
      <c r="M14" s="2"/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>
        <v>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/>
      <c r="K15" s="2"/>
      <c r="L15" s="2"/>
      <c r="M15" s="2"/>
      <c r="N15" s="2"/>
      <c r="O15" s="2"/>
      <c r="P15" s="2"/>
      <c r="Q15" s="32"/>
      <c r="R15" s="34">
        <f t="shared" si="0"/>
        <v>6</v>
      </c>
      <c r="S15" s="82">
        <f t="shared" si="1"/>
        <v>1.3544018058690745</v>
      </c>
      <c r="U15" s="2" t="s">
        <v>47</v>
      </c>
      <c r="V15" s="2">
        <f>C15*Navires!$B$2</f>
        <v>11730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11730</v>
      </c>
      <c r="AM15" s="118" t="s">
        <v>47</v>
      </c>
      <c r="AN15" s="118">
        <f>C15*Navires!$B$6</f>
        <v>3422.3999999999996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1711.1999999999998</v>
      </c>
      <c r="BE15" s="118" t="s">
        <v>47</v>
      </c>
      <c r="BF15" s="118">
        <f>C15*Navires!$B$6</f>
        <v>3422.3999999999996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2395.6799999999994</v>
      </c>
    </row>
    <row r="16" spans="1:73" x14ac:dyDescent="0.25">
      <c r="B16" s="29" t="s">
        <v>60</v>
      </c>
      <c r="C16" s="30">
        <f>SUM(C4:C15)</f>
        <v>11</v>
      </c>
      <c r="D16" s="30">
        <f t="shared" ref="D16:Q16" si="2">SUM(D4:D15)</f>
        <v>0</v>
      </c>
      <c r="E16" s="30">
        <f t="shared" si="2"/>
        <v>0</v>
      </c>
      <c r="F16" s="30">
        <f t="shared" si="2"/>
        <v>5</v>
      </c>
      <c r="G16" s="30">
        <f t="shared" si="2"/>
        <v>3</v>
      </c>
      <c r="H16" s="30">
        <f t="shared" si="2"/>
        <v>0</v>
      </c>
      <c r="I16" s="30">
        <f t="shared" si="2"/>
        <v>1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20</v>
      </c>
      <c r="S16" s="82">
        <f t="shared" si="1"/>
        <v>0.38365624400537118</v>
      </c>
      <c r="U16" s="29" t="s">
        <v>60</v>
      </c>
      <c r="V16" s="30">
        <f>SUM(V4:V15)</f>
        <v>21505</v>
      </c>
      <c r="W16" s="30">
        <f t="shared" ref="W16:AJ16" si="3">SUM(W4:W15)</f>
        <v>0</v>
      </c>
      <c r="X16" s="30">
        <f t="shared" si="3"/>
        <v>0</v>
      </c>
      <c r="Y16" s="30">
        <f t="shared" si="3"/>
        <v>9400</v>
      </c>
      <c r="Z16" s="30">
        <f t="shared" si="3"/>
        <v>5688</v>
      </c>
      <c r="AA16" s="30">
        <f t="shared" si="3"/>
        <v>0</v>
      </c>
      <c r="AB16" s="30">
        <f t="shared" si="3"/>
        <v>2000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6274.4</v>
      </c>
      <c r="AO16" s="30">
        <f t="shared" ref="AO16:BB16" si="4">SUM(AO4:AO15)</f>
        <v>0</v>
      </c>
      <c r="AP16" s="30">
        <f t="shared" si="4"/>
        <v>0</v>
      </c>
      <c r="AQ16" s="30">
        <f t="shared" si="4"/>
        <v>6140</v>
      </c>
      <c r="AR16" s="30">
        <f t="shared" si="4"/>
        <v>2042.4</v>
      </c>
      <c r="AS16" s="30">
        <f t="shared" si="4"/>
        <v>0</v>
      </c>
      <c r="AT16" s="30">
        <f t="shared" si="4"/>
        <v>680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6274.4</v>
      </c>
      <c r="BG16" s="30">
        <f t="shared" ref="BG16:BT16" si="5">SUM(BG4:BG15)</f>
        <v>0</v>
      </c>
      <c r="BH16" s="30">
        <f t="shared" si="5"/>
        <v>0</v>
      </c>
      <c r="BI16" s="30">
        <f t="shared" si="5"/>
        <v>2852</v>
      </c>
      <c r="BJ16" s="30">
        <f t="shared" si="5"/>
        <v>1711.1999999999998</v>
      </c>
      <c r="BK16" s="30">
        <f t="shared" si="5"/>
        <v>0</v>
      </c>
      <c r="BL16" s="30">
        <f t="shared" si="5"/>
        <v>570.4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1</v>
      </c>
      <c r="S21" s="82">
        <f>R21/R36</f>
        <v>0.22573363431151244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1896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1896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680.80000000000007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340.40000000000003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570.4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399.28</v>
      </c>
    </row>
    <row r="22" spans="1:73" x14ac:dyDescent="0.25">
      <c r="A22" t="s">
        <v>49</v>
      </c>
      <c r="B22" s="2" t="s">
        <v>37</v>
      </c>
      <c r="C22" s="2">
        <v>0</v>
      </c>
      <c r="D22" s="2">
        <v>0</v>
      </c>
      <c r="E22">
        <v>0</v>
      </c>
      <c r="F22" s="2">
        <v>0</v>
      </c>
      <c r="G22" s="2">
        <v>0</v>
      </c>
      <c r="H22" s="2">
        <v>0</v>
      </c>
      <c r="I22" s="2"/>
      <c r="J22" s="2"/>
      <c r="K22" s="2"/>
      <c r="L22" s="2"/>
      <c r="M22" s="2"/>
      <c r="N22" s="2"/>
      <c r="O22" s="2"/>
      <c r="P22" s="2"/>
      <c r="Q22" s="32"/>
      <c r="R22" s="34">
        <f t="shared" ref="R22:R33" si="6">SUM(C22:Q22)</f>
        <v>0</v>
      </c>
      <c r="S22" s="82">
        <f t="shared" ref="S22:S33" si="7">R22/R37</f>
        <v>0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0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0</v>
      </c>
    </row>
    <row r="23" spans="1:73" x14ac:dyDescent="0.25">
      <c r="A23" t="s">
        <v>50</v>
      </c>
      <c r="B23" s="2" t="s">
        <v>38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/>
      <c r="J23" s="2"/>
      <c r="K23" s="2"/>
      <c r="L23" s="2"/>
      <c r="M23" s="2"/>
      <c r="N23" s="2"/>
      <c r="O23" s="2"/>
      <c r="P23" s="2"/>
      <c r="Q23" s="32"/>
      <c r="R23" s="34">
        <f t="shared" si="6"/>
        <v>0</v>
      </c>
      <c r="S23" s="82">
        <f t="shared" si="7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/>
      <c r="J24" s="2"/>
      <c r="K24" s="2"/>
      <c r="L24" s="2"/>
      <c r="M24" s="2"/>
      <c r="N24" s="2"/>
      <c r="O24" s="2"/>
      <c r="P24" s="2"/>
      <c r="Q24" s="32"/>
      <c r="R24" s="34">
        <f t="shared" si="6"/>
        <v>0</v>
      </c>
      <c r="S24" s="82">
        <f t="shared" si="7"/>
        <v>0</v>
      </c>
      <c r="U24" s="2" t="s">
        <v>39</v>
      </c>
      <c r="V24" s="2">
        <f>C24*Navires!$B$2</f>
        <v>0</v>
      </c>
      <c r="W24" s="2">
        <f>D24*Navires!$C$2</f>
        <v>0</v>
      </c>
      <c r="X24" s="2">
        <f>E24*Navires!$D$2</f>
        <v>0</v>
      </c>
      <c r="Y24" s="2">
        <f>F24*Navires!$E$2</f>
        <v>0</v>
      </c>
      <c r="Z24" s="2">
        <f>G24*Navires!$F$2</f>
        <v>0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0</v>
      </c>
      <c r="AM24" s="118" t="s">
        <v>39</v>
      </c>
      <c r="AN24" s="118">
        <f>C24*Navires!$B$6</f>
        <v>0</v>
      </c>
      <c r="AO24" s="118">
        <f>D24*Navires!$C$6</f>
        <v>0</v>
      </c>
      <c r="AP24" s="118">
        <f>E24*Navires!$D$6</f>
        <v>0</v>
      </c>
      <c r="AQ24" s="118">
        <f>F24*Navires!$E$6</f>
        <v>0</v>
      </c>
      <c r="AR24" s="118">
        <f>G24*Navires!$F$6</f>
        <v>0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0</v>
      </c>
      <c r="BE24" s="118" t="s">
        <v>39</v>
      </c>
      <c r="BF24" s="118">
        <f>C24*Navires!$B$6</f>
        <v>0</v>
      </c>
      <c r="BG24" s="118">
        <f>D24*Navires!$B$6</f>
        <v>0</v>
      </c>
      <c r="BH24" s="118">
        <f>E24*Navires!$B$6</f>
        <v>0</v>
      </c>
      <c r="BI24" s="118">
        <f>F24*Navires!$B$6</f>
        <v>0</v>
      </c>
      <c r="BJ24" s="118">
        <f>G24*Navires!$B$6</f>
        <v>0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0</v>
      </c>
    </row>
    <row r="25" spans="1:73" x14ac:dyDescent="0.25">
      <c r="A25" t="s">
        <v>52</v>
      </c>
      <c r="B25" s="2" t="s">
        <v>40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/>
      <c r="J25" s="2"/>
      <c r="K25" s="2"/>
      <c r="L25" s="2"/>
      <c r="M25" s="2"/>
      <c r="N25" s="2"/>
      <c r="O25" s="2"/>
      <c r="P25" s="2"/>
      <c r="Q25" s="32"/>
      <c r="R25" s="34">
        <f t="shared" si="6"/>
        <v>0</v>
      </c>
      <c r="S25" s="82">
        <f t="shared" si="7"/>
        <v>0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0</v>
      </c>
      <c r="Z25" s="2">
        <f>G25*Navires!$F$2</f>
        <v>0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0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0</v>
      </c>
      <c r="AR25" s="118">
        <f>G25*Navires!$F$6</f>
        <v>0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0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0</v>
      </c>
      <c r="BJ25" s="118">
        <f>G25*Navires!$B$6</f>
        <v>0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0</v>
      </c>
    </row>
    <row r="26" spans="1:73" x14ac:dyDescent="0.25">
      <c r="A26" t="s">
        <v>53</v>
      </c>
      <c r="B26" s="2" t="s">
        <v>41</v>
      </c>
      <c r="C26" s="2">
        <v>0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/>
      <c r="J26" s="2"/>
      <c r="K26" s="2"/>
      <c r="L26" s="2"/>
      <c r="M26" s="2"/>
      <c r="N26" s="2"/>
      <c r="O26" s="2"/>
      <c r="P26" s="2"/>
      <c r="Q26" s="32"/>
      <c r="R26" s="34">
        <f t="shared" si="6"/>
        <v>1</v>
      </c>
      <c r="S26" s="82">
        <f t="shared" si="7"/>
        <v>0.23364485981308411</v>
      </c>
      <c r="U26" s="2" t="s">
        <v>41</v>
      </c>
      <c r="V26" s="2">
        <f>C26*Navires!$B$2</f>
        <v>0</v>
      </c>
      <c r="W26" s="2">
        <f>D26*Navires!$C$2</f>
        <v>0</v>
      </c>
      <c r="X26" s="2">
        <f>E26*Navires!$D$2</f>
        <v>0</v>
      </c>
      <c r="Y26" s="2">
        <f>F26*Navires!$E$2</f>
        <v>0</v>
      </c>
      <c r="Z26" s="2">
        <f>G26*Navires!$F$2</f>
        <v>1896</v>
      </c>
      <c r="AA26" s="2">
        <f>H26*Navires!$G$2</f>
        <v>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1896</v>
      </c>
      <c r="AM26" s="118" t="s">
        <v>41</v>
      </c>
      <c r="AN26" s="118">
        <f>C26*Navires!$B$6</f>
        <v>0</v>
      </c>
      <c r="AO26" s="118">
        <f>D26*Navires!$C$6</f>
        <v>0</v>
      </c>
      <c r="AP26" s="118">
        <f>E26*Navires!$D$6</f>
        <v>0</v>
      </c>
      <c r="AQ26" s="118">
        <f>F26*Navires!$E$6</f>
        <v>0</v>
      </c>
      <c r="AR26" s="118">
        <f>G26*Navires!$F$6</f>
        <v>680.80000000000007</v>
      </c>
      <c r="AS26" s="118">
        <f>H26*Navires!$G$6</f>
        <v>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204.24</v>
      </c>
      <c r="BE26" s="118" t="s">
        <v>41</v>
      </c>
      <c r="BF26" s="118">
        <f>C26*Navires!$B$6</f>
        <v>0</v>
      </c>
      <c r="BG26" s="118">
        <f>D26*Navires!$B$6</f>
        <v>0</v>
      </c>
      <c r="BH26" s="118">
        <f>E26*Navires!$B$6</f>
        <v>0</v>
      </c>
      <c r="BI26" s="118">
        <f>F26*Navires!$B$6</f>
        <v>0</v>
      </c>
      <c r="BJ26" s="118">
        <f>G26*Navires!$B$6</f>
        <v>570.4</v>
      </c>
      <c r="BK26" s="118">
        <f>H26*Navires!$B$6</f>
        <v>0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969.68</v>
      </c>
    </row>
    <row r="27" spans="1:73" x14ac:dyDescent="0.25">
      <c r="A27" t="s">
        <v>54</v>
      </c>
      <c r="B27" s="2" t="s">
        <v>42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/>
      <c r="J27" s="2"/>
      <c r="K27" s="2"/>
      <c r="L27" s="2"/>
      <c r="M27" s="2"/>
      <c r="N27" s="2"/>
      <c r="O27" s="2"/>
      <c r="P27" s="2"/>
      <c r="Q27" s="32"/>
      <c r="R27" s="34">
        <f t="shared" si="6"/>
        <v>1</v>
      </c>
      <c r="S27" s="82">
        <f t="shared" si="7"/>
        <v>0.22573363431151244</v>
      </c>
      <c r="U27" s="2" t="s">
        <v>42</v>
      </c>
      <c r="V27" s="2">
        <f>C27*Navires!$B$2</f>
        <v>1955</v>
      </c>
      <c r="W27" s="2">
        <f>D27*Navires!$C$2</f>
        <v>0</v>
      </c>
      <c r="X27" s="2">
        <f>E27*Navires!$D$2</f>
        <v>0</v>
      </c>
      <c r="Y27" s="2">
        <f>F27*Navires!$E$2</f>
        <v>0</v>
      </c>
      <c r="Z27" s="2">
        <f>G27*Navires!$F$2</f>
        <v>0</v>
      </c>
      <c r="AA27" s="2">
        <f>H27*Navires!$G$2</f>
        <v>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1955</v>
      </c>
      <c r="AM27" s="118" t="s">
        <v>42</v>
      </c>
      <c r="AN27" s="118">
        <f>C27*Navires!$B$6</f>
        <v>570.4</v>
      </c>
      <c r="AO27" s="118">
        <f>D27*Navires!$C$6</f>
        <v>0</v>
      </c>
      <c r="AP27" s="118">
        <f>E27*Navires!$D$6</f>
        <v>0</v>
      </c>
      <c r="AQ27" s="118">
        <f>F27*Navires!$E$6</f>
        <v>0</v>
      </c>
      <c r="AR27" s="118">
        <f>G27*Navires!$F$6</f>
        <v>0</v>
      </c>
      <c r="AS27" s="118">
        <f>H27*Navires!$G$6</f>
        <v>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171.11999999999998</v>
      </c>
      <c r="BE27" s="118" t="s">
        <v>42</v>
      </c>
      <c r="BF27" s="118">
        <f>C27*Navires!$B$6</f>
        <v>570.4</v>
      </c>
      <c r="BG27" s="118">
        <f>D27*Navires!$B$6</f>
        <v>0</v>
      </c>
      <c r="BH27" s="118">
        <f>E27*Navires!$B$6</f>
        <v>0</v>
      </c>
      <c r="BI27" s="118">
        <f>F27*Navires!$B$6</f>
        <v>0</v>
      </c>
      <c r="BJ27" s="118">
        <f>G27*Navires!$B$6</f>
        <v>0</v>
      </c>
      <c r="BK27" s="118">
        <f>H27*Navires!$B$6</f>
        <v>0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969.68</v>
      </c>
    </row>
    <row r="28" spans="1:73" x14ac:dyDescent="0.25">
      <c r="A28" t="s">
        <v>55</v>
      </c>
      <c r="B28" s="2" t="s">
        <v>43</v>
      </c>
      <c r="C28" s="2">
        <v>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/>
      <c r="J28" s="2"/>
      <c r="K28" s="2"/>
      <c r="L28" s="2"/>
      <c r="M28" s="2"/>
      <c r="N28" s="2"/>
      <c r="O28" s="2"/>
      <c r="P28" s="2">
        <v>5</v>
      </c>
      <c r="Q28" s="32"/>
      <c r="R28" s="34">
        <f t="shared" si="6"/>
        <v>6</v>
      </c>
      <c r="S28" s="82">
        <f t="shared" si="7"/>
        <v>1.3544018058690745</v>
      </c>
      <c r="U28" s="2" t="s">
        <v>43</v>
      </c>
      <c r="V28" s="2">
        <f>C28*Navires!$B$2</f>
        <v>1955</v>
      </c>
      <c r="W28" s="2">
        <f>D28*Navires!$C$2</f>
        <v>0</v>
      </c>
      <c r="X28" s="2">
        <f>E28*Navires!$D$2</f>
        <v>0</v>
      </c>
      <c r="Y28" s="2">
        <f>F28*Navires!$E$2</f>
        <v>0</v>
      </c>
      <c r="Z28" s="2">
        <f>G28*Navires!$F$2</f>
        <v>0</v>
      </c>
      <c r="AA28" s="2">
        <f>H28*Navires!$G$2</f>
        <v>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7500</v>
      </c>
      <c r="AJ28" s="2">
        <f>Q28*Navires!$P$2</f>
        <v>0</v>
      </c>
      <c r="AK28" s="35">
        <f>(SUM(V28:AJ28))*Générale!$B14</f>
        <v>9455</v>
      </c>
      <c r="AM28" s="118" t="s">
        <v>43</v>
      </c>
      <c r="AN28" s="118">
        <f>C28*Navires!$B$6</f>
        <v>570.4</v>
      </c>
      <c r="AO28" s="118">
        <f>D28*Navires!$C$6</f>
        <v>0</v>
      </c>
      <c r="AP28" s="118">
        <f>E28*Navires!$D$6</f>
        <v>0</v>
      </c>
      <c r="AQ28" s="118">
        <f>F28*Navires!$E$6</f>
        <v>0</v>
      </c>
      <c r="AR28" s="118">
        <f>G28*Navires!$F$6</f>
        <v>0</v>
      </c>
      <c r="AS28" s="118">
        <f>H28*Navires!$G$6</f>
        <v>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3200</v>
      </c>
      <c r="BB28" s="118">
        <f>Q28*Navires!$P$6</f>
        <v>0</v>
      </c>
      <c r="BC28" s="185">
        <f>SUM(AN28:BB28)*Générale!$B$26</f>
        <v>1131.1199999999999</v>
      </c>
      <c r="BE28" s="118" t="s">
        <v>43</v>
      </c>
      <c r="BF28" s="118">
        <f>C28*Navires!$B$6</f>
        <v>570.4</v>
      </c>
      <c r="BG28" s="118">
        <f>D28*Navires!$B$6</f>
        <v>0</v>
      </c>
      <c r="BH28" s="118">
        <f>E28*Navires!$B$6</f>
        <v>0</v>
      </c>
      <c r="BI28" s="118">
        <f>F28*Navires!$B$6</f>
        <v>0</v>
      </c>
      <c r="BJ28" s="118">
        <f>G28*Navires!$B$6</f>
        <v>0</v>
      </c>
      <c r="BK28" s="118">
        <f>H28*Navires!$B$6</f>
        <v>0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2852</v>
      </c>
      <c r="BT28" s="118">
        <f>Q28*Navires!$B$6</f>
        <v>0</v>
      </c>
      <c r="BU28" s="185">
        <f>SUM(BF28:BT28)*Générale!$B$22</f>
        <v>5818.08</v>
      </c>
    </row>
    <row r="29" spans="1:73" x14ac:dyDescent="0.25">
      <c r="A29" t="s">
        <v>56</v>
      </c>
      <c r="B29" s="2" t="s">
        <v>44</v>
      </c>
      <c r="C29" s="2">
        <v>0</v>
      </c>
      <c r="D29" s="2">
        <v>1</v>
      </c>
      <c r="E29" s="2">
        <v>0</v>
      </c>
      <c r="F29" s="2">
        <v>1</v>
      </c>
      <c r="G29" s="2">
        <v>0</v>
      </c>
      <c r="H29" s="2">
        <v>0</v>
      </c>
      <c r="I29" s="2"/>
      <c r="J29" s="2"/>
      <c r="K29" s="2"/>
      <c r="L29" s="2"/>
      <c r="M29" s="2"/>
      <c r="N29" s="2"/>
      <c r="O29" s="2"/>
      <c r="P29" s="2"/>
      <c r="Q29" s="32"/>
      <c r="R29" s="34">
        <f t="shared" si="6"/>
        <v>2</v>
      </c>
      <c r="S29" s="82">
        <f t="shared" si="7"/>
        <v>0.46728971962616822</v>
      </c>
      <c r="U29" s="2" t="s">
        <v>44</v>
      </c>
      <c r="V29" s="2">
        <f>C29*Navires!$B$2</f>
        <v>0</v>
      </c>
      <c r="W29" s="2">
        <f>D29*Navires!$C$2</f>
        <v>1955</v>
      </c>
      <c r="X29" s="2">
        <f>E29*Navires!$D$2</f>
        <v>0</v>
      </c>
      <c r="Y29" s="2">
        <f>F29*Navires!$E$2</f>
        <v>1880</v>
      </c>
      <c r="Z29" s="2">
        <f>G29*Navires!$F$2</f>
        <v>0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3835</v>
      </c>
      <c r="AM29" s="118" t="s">
        <v>44</v>
      </c>
      <c r="AN29" s="118">
        <f>C29*Navires!$B$6</f>
        <v>0</v>
      </c>
      <c r="AO29" s="118">
        <f>D29*Navires!$C$6</f>
        <v>570.4</v>
      </c>
      <c r="AP29" s="118">
        <f>E29*Navires!$D$6</f>
        <v>0</v>
      </c>
      <c r="AQ29" s="118">
        <f>F29*Navires!$E$6</f>
        <v>1228</v>
      </c>
      <c r="AR29" s="118">
        <f>G29*Navires!$F$6</f>
        <v>0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539.52</v>
      </c>
      <c r="BE29" s="118" t="s">
        <v>44</v>
      </c>
      <c r="BF29" s="118">
        <f>C29*Navires!$B$6</f>
        <v>0</v>
      </c>
      <c r="BG29" s="118">
        <f>D29*Navires!$B$6</f>
        <v>570.4</v>
      </c>
      <c r="BH29" s="118">
        <f>E29*Navires!$B$6</f>
        <v>0</v>
      </c>
      <c r="BI29" s="118">
        <f>F29*Navires!$B$6</f>
        <v>570.4</v>
      </c>
      <c r="BJ29" s="118">
        <f>G29*Navires!$B$6</f>
        <v>0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1939.36</v>
      </c>
    </row>
    <row r="30" spans="1:73" x14ac:dyDescent="0.25">
      <c r="A30" t="s">
        <v>57</v>
      </c>
      <c r="B30" s="2" t="s">
        <v>45</v>
      </c>
      <c r="C30" s="2">
        <v>7</v>
      </c>
      <c r="D30" s="2">
        <v>0</v>
      </c>
      <c r="E30" s="2">
        <v>0</v>
      </c>
      <c r="F30" s="2">
        <v>4</v>
      </c>
      <c r="G30" s="2">
        <v>1</v>
      </c>
      <c r="H30" s="2">
        <v>0</v>
      </c>
      <c r="I30" s="2"/>
      <c r="J30" s="2"/>
      <c r="K30" s="2"/>
      <c r="L30" s="2"/>
      <c r="M30" s="2"/>
      <c r="N30" s="2"/>
      <c r="O30" s="2"/>
      <c r="P30" s="2"/>
      <c r="Q30" s="32"/>
      <c r="R30" s="34">
        <f t="shared" si="6"/>
        <v>12</v>
      </c>
      <c r="S30" s="82">
        <f t="shared" si="7"/>
        <v>2.7088036117381491</v>
      </c>
      <c r="U30" s="2" t="s">
        <v>45</v>
      </c>
      <c r="V30" s="2">
        <f>C30*Navires!$B$2</f>
        <v>13685</v>
      </c>
      <c r="W30" s="2">
        <f>D30*Navires!$C$2</f>
        <v>0</v>
      </c>
      <c r="X30" s="2">
        <f>E30*Navires!$D$2</f>
        <v>0</v>
      </c>
      <c r="Y30" s="2">
        <f>F30*Navires!$E$2</f>
        <v>7520</v>
      </c>
      <c r="Z30" s="2">
        <f>G30*Navires!$F$2</f>
        <v>1896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23101</v>
      </c>
      <c r="AM30" s="118" t="s">
        <v>45</v>
      </c>
      <c r="AN30" s="118">
        <f>C30*Navires!$B$6</f>
        <v>3992.7999999999997</v>
      </c>
      <c r="AO30" s="118">
        <f>D30*Navires!$C$6</f>
        <v>0</v>
      </c>
      <c r="AP30" s="118">
        <f>E30*Navires!$D$6</f>
        <v>0</v>
      </c>
      <c r="AQ30" s="118">
        <f>F30*Navires!$E$6</f>
        <v>4912</v>
      </c>
      <c r="AR30" s="118">
        <f>G30*Navires!$F$6</f>
        <v>680.80000000000007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4792.7999999999993</v>
      </c>
      <c r="BE30" s="118" t="s">
        <v>45</v>
      </c>
      <c r="BF30" s="118">
        <f>C30*Navires!$B$6</f>
        <v>3992.7999999999997</v>
      </c>
      <c r="BG30" s="118">
        <f>D30*Navires!$B$6</f>
        <v>0</v>
      </c>
      <c r="BH30" s="118">
        <f>E30*Navires!$B$6</f>
        <v>0</v>
      </c>
      <c r="BI30" s="118">
        <f>F30*Navires!$B$6</f>
        <v>2281.6</v>
      </c>
      <c r="BJ30" s="118">
        <f>G30*Navires!$B$6</f>
        <v>570.4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11636.159999999998</v>
      </c>
    </row>
    <row r="31" spans="1:73" x14ac:dyDescent="0.25">
      <c r="A31" t="s">
        <v>58</v>
      </c>
      <c r="B31" s="2" t="s">
        <v>46</v>
      </c>
      <c r="C31" s="2">
        <v>0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/>
      <c r="J31" s="2"/>
      <c r="K31" s="2"/>
      <c r="L31" s="2"/>
      <c r="M31" s="2"/>
      <c r="N31" s="2"/>
      <c r="O31" s="2"/>
      <c r="P31" s="2"/>
      <c r="Q31" s="32"/>
      <c r="R31" s="34">
        <f t="shared" si="6"/>
        <v>1</v>
      </c>
      <c r="S31" s="82">
        <f t="shared" si="7"/>
        <v>0.23364485981308411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1880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1880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1228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614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570.4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399.28</v>
      </c>
    </row>
    <row r="32" spans="1:73" x14ac:dyDescent="0.25">
      <c r="A32" t="s">
        <v>59</v>
      </c>
      <c r="B32" s="2" t="s">
        <v>47</v>
      </c>
      <c r="C32" s="2">
        <v>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/>
      <c r="J32" s="2"/>
      <c r="K32" s="2"/>
      <c r="L32" s="2"/>
      <c r="M32" s="2"/>
      <c r="N32" s="2"/>
      <c r="O32" s="2"/>
      <c r="P32" s="2"/>
      <c r="Q32" s="32"/>
      <c r="R32" s="34">
        <f t="shared" si="6"/>
        <v>5</v>
      </c>
      <c r="S32" s="82">
        <f t="shared" si="7"/>
        <v>1.1286681715575622</v>
      </c>
      <c r="U32" s="2" t="s">
        <v>47</v>
      </c>
      <c r="V32" s="2">
        <f>C32*Navires!$B$2</f>
        <v>9775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9775</v>
      </c>
      <c r="AM32" s="118" t="s">
        <v>47</v>
      </c>
      <c r="AN32" s="118">
        <f>C32*Navires!$B$6</f>
        <v>2852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1426</v>
      </c>
      <c r="BE32" s="118" t="s">
        <v>47</v>
      </c>
      <c r="BF32" s="118">
        <f>C32*Navires!$B$6</f>
        <v>2852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1996.3999999999999</v>
      </c>
    </row>
    <row r="33" spans="1:73" x14ac:dyDescent="0.25">
      <c r="A33" s="30"/>
      <c r="B33" s="34" t="s">
        <v>60</v>
      </c>
      <c r="C33" s="34">
        <f>SUM(C21:C32)</f>
        <v>14</v>
      </c>
      <c r="D33" s="34">
        <f t="shared" ref="D33:E33" si="8">SUM(D21:D32)</f>
        <v>1</v>
      </c>
      <c r="E33" s="34">
        <f t="shared" si="8"/>
        <v>0</v>
      </c>
      <c r="F33" s="34">
        <f>SUM(F21:F32)</f>
        <v>6</v>
      </c>
      <c r="G33" s="34">
        <f>SUM(G21:G32)</f>
        <v>3</v>
      </c>
      <c r="H33" s="34">
        <f t="shared" ref="H33:Q33" si="9">SUM(H21:H32)</f>
        <v>0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5</v>
      </c>
      <c r="Q33" s="34">
        <f t="shared" si="9"/>
        <v>0</v>
      </c>
      <c r="R33" s="34">
        <f t="shared" si="6"/>
        <v>29</v>
      </c>
      <c r="S33" s="82">
        <f t="shared" si="7"/>
        <v>0.55630155380778823</v>
      </c>
      <c r="U33" s="34" t="s">
        <v>60</v>
      </c>
      <c r="V33" s="34">
        <f>SUM(V21:V32)</f>
        <v>27370</v>
      </c>
      <c r="W33" s="34">
        <f t="shared" ref="W33:AJ33" si="10">SUM(W21:W32)</f>
        <v>1955</v>
      </c>
      <c r="X33" s="34">
        <f t="shared" si="10"/>
        <v>0</v>
      </c>
      <c r="Y33" s="34">
        <f t="shared" si="10"/>
        <v>11280</v>
      </c>
      <c r="Z33" s="34">
        <f t="shared" si="10"/>
        <v>5688</v>
      </c>
      <c r="AA33" s="34">
        <f t="shared" si="10"/>
        <v>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7500</v>
      </c>
      <c r="AJ33" s="34">
        <f t="shared" si="10"/>
        <v>0</v>
      </c>
      <c r="AK33" s="121"/>
      <c r="AM33" s="34" t="s">
        <v>60</v>
      </c>
      <c r="AN33" s="34">
        <f>SUM(AN21:AN32)</f>
        <v>7985.5999999999995</v>
      </c>
      <c r="AO33" s="34">
        <f t="shared" ref="AO33:BB33" si="11">SUM(AO21:AO32)</f>
        <v>570.4</v>
      </c>
      <c r="AP33" s="34">
        <f t="shared" si="11"/>
        <v>0</v>
      </c>
      <c r="AQ33" s="34">
        <f t="shared" si="11"/>
        <v>7368</v>
      </c>
      <c r="AR33" s="34">
        <f t="shared" si="11"/>
        <v>2042.4</v>
      </c>
      <c r="AS33" s="34">
        <f t="shared" si="11"/>
        <v>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3200</v>
      </c>
      <c r="BB33" s="34">
        <f t="shared" si="11"/>
        <v>0</v>
      </c>
      <c r="BC33" s="118"/>
      <c r="BE33" s="34" t="s">
        <v>60</v>
      </c>
      <c r="BF33" s="118">
        <f>C33*Navires!$B$6</f>
        <v>7985.5999999999995</v>
      </c>
      <c r="BG33" s="118">
        <f>D33*Navires!$B$6</f>
        <v>570.4</v>
      </c>
      <c r="BH33" s="118">
        <f>E33*Navires!$B$6</f>
        <v>0</v>
      </c>
      <c r="BI33" s="118">
        <f>F33*Navires!$B$6</f>
        <v>3422.3999999999996</v>
      </c>
      <c r="BJ33" s="118">
        <f>G33*Navires!$B$6</f>
        <v>1711.1999999999998</v>
      </c>
      <c r="BK33" s="118">
        <f>H33*Navires!$B$6</f>
        <v>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2852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</sheetData>
  <mergeCells count="8">
    <mergeCell ref="BF1:BT2"/>
    <mergeCell ref="BE18:BU19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1"/>
  <sheetViews>
    <sheetView topLeftCell="BF19" workbookViewId="0">
      <selection activeCell="BU20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1</v>
      </c>
      <c r="D4" s="2">
        <v>0</v>
      </c>
      <c r="E4" s="2">
        <v>17</v>
      </c>
      <c r="F4" s="2">
        <v>0</v>
      </c>
      <c r="G4" s="2">
        <v>3</v>
      </c>
      <c r="H4" s="2">
        <v>0</v>
      </c>
      <c r="I4" s="2">
        <v>12</v>
      </c>
      <c r="J4" s="2">
        <v>0</v>
      </c>
      <c r="K4" s="2"/>
      <c r="L4" s="2"/>
      <c r="M4" s="2"/>
      <c r="N4" s="2"/>
      <c r="O4" s="2"/>
      <c r="P4" s="2"/>
      <c r="Q4" s="32"/>
      <c r="R4" s="34">
        <f>SUM(C4:Q4)</f>
        <v>33</v>
      </c>
      <c r="S4" s="82">
        <f>R4/R36</f>
        <v>7.4492099322799099</v>
      </c>
      <c r="U4" s="2" t="s">
        <v>36</v>
      </c>
      <c r="V4" s="2">
        <f>C4*Navires!$B$2</f>
        <v>1955</v>
      </c>
      <c r="W4" s="2">
        <f>D4*Navires!$C$2</f>
        <v>0</v>
      </c>
      <c r="X4" s="2">
        <f>E4*Navires!$D$2</f>
        <v>35802</v>
      </c>
      <c r="Y4" s="2">
        <f>F4*Navires!$E$2</f>
        <v>0</v>
      </c>
      <c r="Z4" s="2">
        <f>G4*Navires!$F$2</f>
        <v>5688</v>
      </c>
      <c r="AA4" s="2">
        <f>H4*Navires!$G$2</f>
        <v>0</v>
      </c>
      <c r="AB4" s="2">
        <f>I4*Navires!$H$2</f>
        <v>24000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67445</v>
      </c>
      <c r="AM4" s="118" t="s">
        <v>36</v>
      </c>
      <c r="AN4" s="118">
        <f>C4*Navires!$B$6</f>
        <v>570.4</v>
      </c>
      <c r="AO4" s="118">
        <f>D4*Navires!$C$6</f>
        <v>0</v>
      </c>
      <c r="AP4" s="118">
        <f>E4*Navires!$D$6</f>
        <v>13600</v>
      </c>
      <c r="AQ4" s="118">
        <f>F4*Navires!$E$6</f>
        <v>0</v>
      </c>
      <c r="AR4" s="118">
        <f>G4*Navires!$F$6</f>
        <v>2042.4</v>
      </c>
      <c r="AS4" s="118">
        <f>H4*Navires!$G$6</f>
        <v>0</v>
      </c>
      <c r="AT4" s="118">
        <f>I4*Navires!$H$6</f>
        <v>8160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12186.4</v>
      </c>
      <c r="BE4" s="118" t="s">
        <v>36</v>
      </c>
      <c r="BF4" s="118">
        <f>C4*Navires!$B$6</f>
        <v>570.4</v>
      </c>
      <c r="BG4" s="118">
        <f>D4*Navires!$B$6</f>
        <v>0</v>
      </c>
      <c r="BH4" s="118">
        <f>E4*Navires!$B$6</f>
        <v>9696.7999999999993</v>
      </c>
      <c r="BI4" s="118">
        <f>F4*Navires!$B$6</f>
        <v>0</v>
      </c>
      <c r="BJ4" s="118">
        <f>G4*Navires!$B$6</f>
        <v>1711.1999999999998</v>
      </c>
      <c r="BK4" s="118">
        <f>H4*Navires!$B$6</f>
        <v>0</v>
      </c>
      <c r="BL4" s="118">
        <f>I4*Navires!$B$6</f>
        <v>6844.7999999999993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13176.239999999998</v>
      </c>
    </row>
    <row r="5" spans="1:73" x14ac:dyDescent="0.25">
      <c r="A5" t="s">
        <v>49</v>
      </c>
      <c r="B5" s="2" t="s">
        <v>37</v>
      </c>
      <c r="C5" s="2">
        <v>5</v>
      </c>
      <c r="D5" s="2">
        <v>0</v>
      </c>
      <c r="E5">
        <v>13</v>
      </c>
      <c r="F5" s="2">
        <v>0</v>
      </c>
      <c r="G5" s="2">
        <v>1</v>
      </c>
      <c r="H5" s="2">
        <v>0</v>
      </c>
      <c r="I5" s="2">
        <v>9</v>
      </c>
      <c r="J5" s="2">
        <v>0</v>
      </c>
      <c r="K5" s="2"/>
      <c r="L5" s="2"/>
      <c r="M5" s="2"/>
      <c r="N5" s="2"/>
      <c r="O5" s="2"/>
      <c r="P5" s="2"/>
      <c r="Q5" s="32"/>
      <c r="R5" s="34">
        <f t="shared" ref="R5:R16" si="0">SUM(C5:Q5)</f>
        <v>28</v>
      </c>
      <c r="S5" s="82">
        <f t="shared" ref="S5:S16" si="1">R5/R37</f>
        <v>7</v>
      </c>
      <c r="U5" s="2" t="s">
        <v>37</v>
      </c>
      <c r="V5" s="2">
        <f>C5*Navires!$B$2</f>
        <v>9775</v>
      </c>
      <c r="W5" s="2">
        <f>D5*Navires!$C$2</f>
        <v>0</v>
      </c>
      <c r="X5" s="2">
        <f>E5*Navires!$D$2</f>
        <v>27378</v>
      </c>
      <c r="Y5" s="2">
        <f>F5*Navires!$E$2</f>
        <v>0</v>
      </c>
      <c r="Z5" s="2">
        <f>G5*Navires!$F$2</f>
        <v>1896</v>
      </c>
      <c r="AA5" s="2">
        <f>H5*Navires!$G$2</f>
        <v>0</v>
      </c>
      <c r="AB5" s="2">
        <f>I5*Navires!$H$2</f>
        <v>18000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57049</v>
      </c>
      <c r="AM5" s="118" t="s">
        <v>37</v>
      </c>
      <c r="AN5" s="118">
        <f>C5*Navires!$B$6</f>
        <v>2852</v>
      </c>
      <c r="AO5" s="118">
        <f>D5*Navires!$C$6</f>
        <v>0</v>
      </c>
      <c r="AP5" s="118">
        <f>E5*Navires!$D$6</f>
        <v>10400</v>
      </c>
      <c r="AQ5" s="118">
        <f>F5*Navires!$E$6</f>
        <v>0</v>
      </c>
      <c r="AR5" s="118">
        <f>G5*Navires!$F$6</f>
        <v>680.80000000000007</v>
      </c>
      <c r="AS5" s="118">
        <f>H5*Navires!$G$6</f>
        <v>0</v>
      </c>
      <c r="AT5" s="118">
        <f>I5*Navires!$H$6</f>
        <v>6120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10026.4</v>
      </c>
      <c r="BE5" s="118" t="s">
        <v>37</v>
      </c>
      <c r="BF5" s="118">
        <f>C5*Navires!$B$6</f>
        <v>2852</v>
      </c>
      <c r="BG5" s="118">
        <f>D5*Navires!$B$6</f>
        <v>0</v>
      </c>
      <c r="BH5" s="118">
        <f>E5*Navires!$B$6</f>
        <v>7415.2</v>
      </c>
      <c r="BI5" s="118">
        <f>F5*Navires!$B$6</f>
        <v>0</v>
      </c>
      <c r="BJ5" s="118">
        <f>G5*Navires!$B$6</f>
        <v>570.4</v>
      </c>
      <c r="BK5" s="118">
        <f>H5*Navires!$B$6</f>
        <v>0</v>
      </c>
      <c r="BL5" s="118">
        <f>I5*Navires!$B$6</f>
        <v>5133.5999999999995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11179.84</v>
      </c>
    </row>
    <row r="6" spans="1:73" x14ac:dyDescent="0.25">
      <c r="A6" t="s">
        <v>50</v>
      </c>
      <c r="B6" s="2" t="s">
        <v>38</v>
      </c>
      <c r="C6" s="2">
        <v>14</v>
      </c>
      <c r="D6" s="2">
        <v>0</v>
      </c>
      <c r="E6" s="2">
        <v>16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/>
      <c r="L6" s="2"/>
      <c r="M6" s="2"/>
      <c r="N6" s="2"/>
      <c r="O6" s="2"/>
      <c r="P6" s="2"/>
      <c r="Q6" s="32"/>
      <c r="R6" s="34">
        <f t="shared" si="0"/>
        <v>31</v>
      </c>
      <c r="S6" s="82">
        <f t="shared" si="1"/>
        <v>6.9977426636568856</v>
      </c>
      <c r="U6" s="2" t="s">
        <v>38</v>
      </c>
      <c r="V6" s="2">
        <f>C6*Navires!$B$2</f>
        <v>27370</v>
      </c>
      <c r="W6" s="2">
        <f>D6*Navires!$C$2</f>
        <v>0</v>
      </c>
      <c r="X6" s="2">
        <f>E6*Navires!$D$2</f>
        <v>33696</v>
      </c>
      <c r="Y6" s="2">
        <f>F6*Navires!$E$2</f>
        <v>1880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62946</v>
      </c>
      <c r="AM6" s="118" t="s">
        <v>38</v>
      </c>
      <c r="AN6" s="118">
        <f>C6*Navires!$B$6</f>
        <v>7985.5999999999995</v>
      </c>
      <c r="AO6" s="118">
        <f>D6*Navires!$C$6</f>
        <v>0</v>
      </c>
      <c r="AP6" s="118">
        <f>E6*Navires!$D$6</f>
        <v>12800</v>
      </c>
      <c r="AQ6" s="118">
        <f>F6*Navires!$E$6</f>
        <v>1228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11006.8</v>
      </c>
      <c r="BE6" s="118" t="s">
        <v>38</v>
      </c>
      <c r="BF6" s="118">
        <f>C6*Navires!$B$6</f>
        <v>7985.5999999999995</v>
      </c>
      <c r="BG6" s="118">
        <f>D6*Navires!$B$6</f>
        <v>0</v>
      </c>
      <c r="BH6" s="118">
        <f>E6*Navires!$B$6</f>
        <v>9126.4</v>
      </c>
      <c r="BI6" s="118">
        <f>F6*Navires!$B$6</f>
        <v>570.4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12377.68</v>
      </c>
    </row>
    <row r="7" spans="1:73" x14ac:dyDescent="0.25">
      <c r="A7" t="s">
        <v>51</v>
      </c>
      <c r="B7" s="2" t="s">
        <v>39</v>
      </c>
      <c r="C7" s="2">
        <v>3</v>
      </c>
      <c r="D7" s="2">
        <v>5</v>
      </c>
      <c r="E7" s="2">
        <v>23</v>
      </c>
      <c r="F7" s="2">
        <v>11</v>
      </c>
      <c r="G7" s="2">
        <v>0</v>
      </c>
      <c r="H7" s="2">
        <v>2</v>
      </c>
      <c r="I7" s="2">
        <v>0</v>
      </c>
      <c r="J7" s="2">
        <v>0</v>
      </c>
      <c r="K7" s="2"/>
      <c r="L7" s="2"/>
      <c r="M7" s="2"/>
      <c r="N7" s="2"/>
      <c r="O7" s="2"/>
      <c r="P7" s="2"/>
      <c r="Q7" s="32"/>
      <c r="R7" s="34">
        <f t="shared" si="0"/>
        <v>44</v>
      </c>
      <c r="S7" s="82">
        <f t="shared" si="1"/>
        <v>10.2803738317757</v>
      </c>
      <c r="U7" s="2" t="s">
        <v>39</v>
      </c>
      <c r="V7" s="2">
        <f>C7*Navires!$B$2</f>
        <v>5865</v>
      </c>
      <c r="W7" s="2">
        <f>D7*Navires!$C$2</f>
        <v>9775</v>
      </c>
      <c r="X7" s="2">
        <f>E7*Navires!$D$2</f>
        <v>48438</v>
      </c>
      <c r="Y7" s="2">
        <f>F7*Navires!$E$2</f>
        <v>20680</v>
      </c>
      <c r="Z7" s="2">
        <f>G7*Navires!$F$2</f>
        <v>0</v>
      </c>
      <c r="AA7" s="2">
        <f>H7*Navires!$G$2</f>
        <v>4000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88758</v>
      </c>
      <c r="AM7" s="118" t="s">
        <v>39</v>
      </c>
      <c r="AN7" s="118">
        <f>C7*Navires!$B$6</f>
        <v>1711.1999999999998</v>
      </c>
      <c r="AO7" s="118">
        <f>D7*Navires!$C$6</f>
        <v>2852</v>
      </c>
      <c r="AP7" s="118">
        <f>E7*Navires!$D$6</f>
        <v>18400</v>
      </c>
      <c r="AQ7" s="118">
        <f>F7*Navires!$E$6</f>
        <v>13508</v>
      </c>
      <c r="AR7" s="118">
        <f>G7*Navires!$F$6</f>
        <v>0</v>
      </c>
      <c r="AS7" s="118">
        <f>H7*Navires!$G$6</f>
        <v>1360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18915.599999999999</v>
      </c>
      <c r="BE7" s="118" t="s">
        <v>39</v>
      </c>
      <c r="BF7" s="118">
        <f>C7*Navires!$B$6</f>
        <v>1711.1999999999998</v>
      </c>
      <c r="BG7" s="118">
        <f>D7*Navires!$B$6</f>
        <v>2852</v>
      </c>
      <c r="BH7" s="118">
        <f>E7*Navires!$B$6</f>
        <v>13119.199999999999</v>
      </c>
      <c r="BI7" s="118">
        <f>F7*Navires!$B$6</f>
        <v>6274.4</v>
      </c>
      <c r="BJ7" s="118">
        <f>G7*Navires!$B$6</f>
        <v>0</v>
      </c>
      <c r="BK7" s="118">
        <f>H7*Navires!$B$6</f>
        <v>1140.8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42665.919999999991</v>
      </c>
    </row>
    <row r="8" spans="1:73" x14ac:dyDescent="0.25">
      <c r="A8" t="s">
        <v>52</v>
      </c>
      <c r="B8" s="2" t="s">
        <v>40</v>
      </c>
      <c r="C8" s="2">
        <v>0</v>
      </c>
      <c r="D8" s="2">
        <v>6</v>
      </c>
      <c r="E8" s="2">
        <v>23</v>
      </c>
      <c r="F8" s="2">
        <v>3</v>
      </c>
      <c r="G8" s="2">
        <v>0</v>
      </c>
      <c r="H8" s="2">
        <v>13</v>
      </c>
      <c r="I8" s="2">
        <v>0</v>
      </c>
      <c r="J8" s="2">
        <v>0</v>
      </c>
      <c r="K8" s="2"/>
      <c r="L8" s="2"/>
      <c r="M8" s="2"/>
      <c r="N8" s="2"/>
      <c r="O8" s="2"/>
      <c r="P8" s="2"/>
      <c r="Q8" s="32"/>
      <c r="R8" s="34">
        <f t="shared" si="0"/>
        <v>45</v>
      </c>
      <c r="S8" s="82">
        <f t="shared" si="1"/>
        <v>10.158013544018059</v>
      </c>
      <c r="U8" s="2" t="s">
        <v>40</v>
      </c>
      <c r="V8" s="2">
        <f>C8*Navires!$B$2</f>
        <v>0</v>
      </c>
      <c r="W8" s="2">
        <f>D8*Navires!$C$2</f>
        <v>11730</v>
      </c>
      <c r="X8" s="2">
        <f>E8*Navires!$D$2</f>
        <v>48438</v>
      </c>
      <c r="Y8" s="2">
        <f>F8*Navires!$E$2</f>
        <v>5640</v>
      </c>
      <c r="Z8" s="2">
        <f>G8*Navires!$F$2</f>
        <v>0</v>
      </c>
      <c r="AA8" s="2">
        <f>H8*Navires!$G$2</f>
        <v>26000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91808</v>
      </c>
      <c r="AM8" s="118" t="s">
        <v>40</v>
      </c>
      <c r="AN8" s="118">
        <f>C8*Navires!$B$6</f>
        <v>0</v>
      </c>
      <c r="AO8" s="118">
        <f>D8*Navires!$C$6</f>
        <v>3422.3999999999996</v>
      </c>
      <c r="AP8" s="118">
        <f>E8*Navires!$D$6</f>
        <v>18400</v>
      </c>
      <c r="AQ8" s="118">
        <f>F8*Navires!$E$6</f>
        <v>3684</v>
      </c>
      <c r="AR8" s="118">
        <f>G8*Navires!$F$6</f>
        <v>0</v>
      </c>
      <c r="AS8" s="118">
        <f>H8*Navires!$G$6</f>
        <v>8840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10303.92</v>
      </c>
      <c r="BE8" s="118" t="s">
        <v>40</v>
      </c>
      <c r="BF8" s="118">
        <f>C8*Navires!$B$6</f>
        <v>0</v>
      </c>
      <c r="BG8" s="118">
        <f>D8*Navires!$B$6</f>
        <v>3422.3999999999996</v>
      </c>
      <c r="BH8" s="118">
        <f>E8*Navires!$B$6</f>
        <v>13119.199999999999</v>
      </c>
      <c r="BI8" s="118">
        <f>F8*Navires!$B$6</f>
        <v>1711.1999999999998</v>
      </c>
      <c r="BJ8" s="118">
        <f>G8*Navires!$B$6</f>
        <v>0</v>
      </c>
      <c r="BK8" s="118">
        <f>H8*Navires!$B$6</f>
        <v>7415.2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43635.6</v>
      </c>
    </row>
    <row r="9" spans="1:73" x14ac:dyDescent="0.25">
      <c r="A9" t="s">
        <v>53</v>
      </c>
      <c r="B9" s="2" t="s">
        <v>41</v>
      </c>
      <c r="C9" s="2">
        <v>3</v>
      </c>
      <c r="D9" s="2">
        <v>12</v>
      </c>
      <c r="E9" s="2">
        <v>5</v>
      </c>
      <c r="F9" s="2">
        <v>7</v>
      </c>
      <c r="G9" s="2">
        <v>4</v>
      </c>
      <c r="H9" s="2">
        <v>10</v>
      </c>
      <c r="I9" s="2">
        <v>8</v>
      </c>
      <c r="J9" s="2">
        <v>0</v>
      </c>
      <c r="K9" s="2"/>
      <c r="L9" s="2"/>
      <c r="M9" s="2"/>
      <c r="N9" s="2"/>
      <c r="O9" s="2"/>
      <c r="P9" s="2"/>
      <c r="Q9" s="32"/>
      <c r="R9" s="34">
        <f t="shared" si="0"/>
        <v>49</v>
      </c>
      <c r="S9" s="82">
        <f t="shared" si="1"/>
        <v>11.448598130841122</v>
      </c>
      <c r="U9" s="2" t="s">
        <v>41</v>
      </c>
      <c r="V9" s="2">
        <f>C9*Navires!$B$2</f>
        <v>5865</v>
      </c>
      <c r="W9" s="2">
        <f>D9*Navires!$C$2</f>
        <v>23460</v>
      </c>
      <c r="X9" s="2">
        <f>E9*Navires!$D$2</f>
        <v>10530</v>
      </c>
      <c r="Y9" s="2">
        <f>F9*Navires!$E$2</f>
        <v>13160</v>
      </c>
      <c r="Z9" s="2">
        <f>G9*Navires!$F$2</f>
        <v>7584</v>
      </c>
      <c r="AA9" s="2">
        <f>H9*Navires!$G$2</f>
        <v>20000</v>
      </c>
      <c r="AB9" s="2">
        <f>I9*Navires!$H$2</f>
        <v>16000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96599</v>
      </c>
      <c r="AM9" s="118" t="s">
        <v>41</v>
      </c>
      <c r="AN9" s="118">
        <f>C9*Navires!$B$6</f>
        <v>1711.1999999999998</v>
      </c>
      <c r="AO9" s="118">
        <f>D9*Navires!$C$6</f>
        <v>6844.7999999999993</v>
      </c>
      <c r="AP9" s="118">
        <f>E9*Navires!$D$6</f>
        <v>4000</v>
      </c>
      <c r="AQ9" s="118">
        <f>F9*Navires!$E$6</f>
        <v>8596</v>
      </c>
      <c r="AR9" s="118">
        <f>G9*Navires!$F$6</f>
        <v>2723.2000000000003</v>
      </c>
      <c r="AS9" s="118">
        <f>H9*Navires!$G$6</f>
        <v>6800</v>
      </c>
      <c r="AT9" s="118">
        <f>I9*Navires!$H$6</f>
        <v>5440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10834.56</v>
      </c>
      <c r="BE9" s="118" t="s">
        <v>41</v>
      </c>
      <c r="BF9" s="118">
        <f>C9*Navires!$B$6</f>
        <v>1711.1999999999998</v>
      </c>
      <c r="BG9" s="118">
        <f>D9*Navires!$B$6</f>
        <v>6844.7999999999993</v>
      </c>
      <c r="BH9" s="118">
        <f>E9*Navires!$B$6</f>
        <v>2852</v>
      </c>
      <c r="BI9" s="118">
        <f>F9*Navires!$B$6</f>
        <v>3992.7999999999997</v>
      </c>
      <c r="BJ9" s="118">
        <f>G9*Navires!$B$6</f>
        <v>2281.6</v>
      </c>
      <c r="BK9" s="118">
        <f>H9*Navires!$B$6</f>
        <v>5704</v>
      </c>
      <c r="BL9" s="118">
        <f>I9*Navires!$B$6</f>
        <v>4563.2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47514.32</v>
      </c>
    </row>
    <row r="10" spans="1:73" x14ac:dyDescent="0.25">
      <c r="A10" t="s">
        <v>54</v>
      </c>
      <c r="B10" s="2" t="s">
        <v>42</v>
      </c>
      <c r="C10" s="2">
        <v>10</v>
      </c>
      <c r="D10" s="2">
        <v>10</v>
      </c>
      <c r="E10" s="2">
        <v>0</v>
      </c>
      <c r="F10" s="2">
        <v>9</v>
      </c>
      <c r="G10" s="2">
        <v>15</v>
      </c>
      <c r="H10" s="2">
        <v>8</v>
      </c>
      <c r="I10" s="2">
        <v>14</v>
      </c>
      <c r="J10" s="2">
        <v>0</v>
      </c>
      <c r="K10" s="2"/>
      <c r="L10" s="2"/>
      <c r="M10" s="2"/>
      <c r="N10" s="2"/>
      <c r="O10" s="2"/>
      <c r="P10" s="2"/>
      <c r="Q10" s="32"/>
      <c r="R10" s="34">
        <f t="shared" si="0"/>
        <v>66</v>
      </c>
      <c r="S10" s="82">
        <f t="shared" si="1"/>
        <v>14.89841986455982</v>
      </c>
      <c r="U10" s="2" t="s">
        <v>42</v>
      </c>
      <c r="V10" s="2">
        <f>C10*Navires!$B$2</f>
        <v>19550</v>
      </c>
      <c r="W10" s="2">
        <f>D10*Navires!$C$2</f>
        <v>19550</v>
      </c>
      <c r="X10" s="2">
        <f>E10*Navires!$D$2</f>
        <v>0</v>
      </c>
      <c r="Y10" s="2">
        <f>F10*Navires!$E$2</f>
        <v>16920</v>
      </c>
      <c r="Z10" s="2">
        <f>G10*Navires!$F$2</f>
        <v>28440</v>
      </c>
      <c r="AA10" s="2">
        <f>H10*Navires!$G$2</f>
        <v>16000</v>
      </c>
      <c r="AB10" s="2">
        <f>I10*Navires!$H$2</f>
        <v>28000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128460</v>
      </c>
      <c r="AM10" s="118" t="s">
        <v>42</v>
      </c>
      <c r="AN10" s="118">
        <f>C10*Navires!$B$6</f>
        <v>5704</v>
      </c>
      <c r="AO10" s="118">
        <f>D10*Navires!$C$6</f>
        <v>5704</v>
      </c>
      <c r="AP10" s="118">
        <f>E10*Navires!$D$6</f>
        <v>0</v>
      </c>
      <c r="AQ10" s="118">
        <f>F10*Navires!$E$6</f>
        <v>11052</v>
      </c>
      <c r="AR10" s="118">
        <f>G10*Navires!$F$6</f>
        <v>10212.000000000002</v>
      </c>
      <c r="AS10" s="118">
        <f>H10*Navires!$G$6</f>
        <v>5440</v>
      </c>
      <c r="AT10" s="118">
        <f>I10*Navires!$H$6</f>
        <v>9520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14289.6</v>
      </c>
      <c r="BE10" s="118" t="s">
        <v>42</v>
      </c>
      <c r="BF10" s="118">
        <f>C10*Navires!$B$6</f>
        <v>5704</v>
      </c>
      <c r="BG10" s="118">
        <f>D10*Navires!$B$6</f>
        <v>5704</v>
      </c>
      <c r="BH10" s="118">
        <f>E10*Navires!$B$6</f>
        <v>0</v>
      </c>
      <c r="BI10" s="118">
        <f>F10*Navires!$B$6</f>
        <v>5133.5999999999995</v>
      </c>
      <c r="BJ10" s="118">
        <f>G10*Navires!$B$6</f>
        <v>8556</v>
      </c>
      <c r="BK10" s="118">
        <f>H10*Navires!$B$6</f>
        <v>4563.2</v>
      </c>
      <c r="BL10" s="118">
        <f>I10*Navires!$B$6</f>
        <v>7985.5999999999995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63998.879999999997</v>
      </c>
    </row>
    <row r="11" spans="1:73" x14ac:dyDescent="0.25">
      <c r="A11" t="s">
        <v>55</v>
      </c>
      <c r="B11" s="2" t="s">
        <v>43</v>
      </c>
      <c r="C11" s="2">
        <v>9</v>
      </c>
      <c r="D11" s="2">
        <v>11</v>
      </c>
      <c r="E11" s="2">
        <v>0</v>
      </c>
      <c r="F11" s="2">
        <v>21</v>
      </c>
      <c r="G11" s="2">
        <v>10</v>
      </c>
      <c r="H11" s="2">
        <v>7</v>
      </c>
      <c r="I11" s="2">
        <v>7</v>
      </c>
      <c r="J11" s="2">
        <v>0</v>
      </c>
      <c r="K11" s="2"/>
      <c r="L11" s="2"/>
      <c r="M11" s="2"/>
      <c r="N11" s="2"/>
      <c r="O11" s="2"/>
      <c r="P11" s="2"/>
      <c r="Q11" s="32"/>
      <c r="R11" s="34">
        <f t="shared" si="0"/>
        <v>65</v>
      </c>
      <c r="S11" s="82">
        <f t="shared" si="1"/>
        <v>14.672686230248308</v>
      </c>
      <c r="U11" s="2" t="s">
        <v>43</v>
      </c>
      <c r="V11" s="2">
        <f>C11*Navires!$B$2</f>
        <v>17595</v>
      </c>
      <c r="W11" s="2">
        <f>D11*Navires!$C$2</f>
        <v>21505</v>
      </c>
      <c r="X11" s="2">
        <f>E11*Navires!$D$2</f>
        <v>0</v>
      </c>
      <c r="Y11" s="2">
        <f>F11*Navires!$E$2</f>
        <v>39480</v>
      </c>
      <c r="Z11" s="2">
        <f>G11*Navires!$F$2</f>
        <v>18960</v>
      </c>
      <c r="AA11" s="2">
        <f>H11*Navires!$G$2</f>
        <v>14000</v>
      </c>
      <c r="AB11" s="2">
        <f>I11*Navires!$H$2</f>
        <v>14000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125540</v>
      </c>
      <c r="AM11" s="118" t="s">
        <v>43</v>
      </c>
      <c r="AN11" s="118">
        <f>C11*Navires!$B$6</f>
        <v>5133.5999999999995</v>
      </c>
      <c r="AO11" s="118">
        <f>D11*Navires!$C$6</f>
        <v>6274.4</v>
      </c>
      <c r="AP11" s="118">
        <f>E11*Navires!$D$6</f>
        <v>0</v>
      </c>
      <c r="AQ11" s="118">
        <f>F11*Navires!$E$6</f>
        <v>25788</v>
      </c>
      <c r="AR11" s="118">
        <f>G11*Navires!$F$6</f>
        <v>6808.0000000000009</v>
      </c>
      <c r="AS11" s="118">
        <f>H11*Navires!$G$6</f>
        <v>4760</v>
      </c>
      <c r="AT11" s="118">
        <f>I11*Navires!$H$6</f>
        <v>4760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16057.199999999999</v>
      </c>
      <c r="BE11" s="118" t="s">
        <v>43</v>
      </c>
      <c r="BF11" s="118">
        <f>C11*Navires!$B$6</f>
        <v>5133.5999999999995</v>
      </c>
      <c r="BG11" s="118">
        <f>D11*Navires!$B$6</f>
        <v>6274.4</v>
      </c>
      <c r="BH11" s="118">
        <f>E11*Navires!$B$6</f>
        <v>0</v>
      </c>
      <c r="BI11" s="118">
        <f>F11*Navires!$B$6</f>
        <v>11978.4</v>
      </c>
      <c r="BJ11" s="118">
        <f>G11*Navires!$B$6</f>
        <v>5704</v>
      </c>
      <c r="BK11" s="118">
        <f>H11*Navires!$B$6</f>
        <v>3992.7999999999997</v>
      </c>
      <c r="BL11" s="118">
        <f>I11*Navires!$B$6</f>
        <v>3992.7999999999997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63029.200000000012</v>
      </c>
    </row>
    <row r="12" spans="1:73" x14ac:dyDescent="0.25">
      <c r="A12" t="s">
        <v>56</v>
      </c>
      <c r="B12" s="2" t="s">
        <v>44</v>
      </c>
      <c r="C12" s="2">
        <v>12</v>
      </c>
      <c r="D12" s="2">
        <v>2</v>
      </c>
      <c r="E12" s="2">
        <v>0</v>
      </c>
      <c r="F12" s="2">
        <v>9</v>
      </c>
      <c r="G12" s="2">
        <v>3</v>
      </c>
      <c r="H12" s="2">
        <v>14</v>
      </c>
      <c r="I12" s="2">
        <v>9</v>
      </c>
      <c r="J12" s="2">
        <v>4</v>
      </c>
      <c r="K12" s="2"/>
      <c r="L12" s="2"/>
      <c r="M12" s="2"/>
      <c r="N12" s="2"/>
      <c r="O12" s="2"/>
      <c r="P12" s="2"/>
      <c r="Q12" s="32"/>
      <c r="R12" s="34">
        <f t="shared" si="0"/>
        <v>53</v>
      </c>
      <c r="S12" s="82">
        <f t="shared" si="1"/>
        <v>12.383177570093457</v>
      </c>
      <c r="U12" s="2" t="s">
        <v>44</v>
      </c>
      <c r="V12" s="2">
        <f>C12*Navires!$B$2</f>
        <v>23460</v>
      </c>
      <c r="W12" s="2">
        <f>D12*Navires!$C$2</f>
        <v>3910</v>
      </c>
      <c r="X12" s="2">
        <f>E12*Navires!$D$2</f>
        <v>0</v>
      </c>
      <c r="Y12" s="2">
        <f>F12*Navires!$E$2</f>
        <v>16920</v>
      </c>
      <c r="Z12" s="2">
        <f>G12*Navires!$F$2</f>
        <v>5688</v>
      </c>
      <c r="AA12" s="2">
        <f>H12*Navires!$G$2</f>
        <v>28000</v>
      </c>
      <c r="AB12" s="2">
        <f>I12*Navires!$H$2</f>
        <v>18000</v>
      </c>
      <c r="AC12" s="2">
        <f>J12*Navires!$I$2</f>
        <v>8000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103978</v>
      </c>
      <c r="AM12" s="118" t="s">
        <v>44</v>
      </c>
      <c r="AN12" s="118">
        <f>C12*Navires!$B$6</f>
        <v>6844.7999999999993</v>
      </c>
      <c r="AO12" s="118">
        <f>D12*Navires!$C$6</f>
        <v>1140.8</v>
      </c>
      <c r="AP12" s="118">
        <f>E12*Navires!$D$6</f>
        <v>0</v>
      </c>
      <c r="AQ12" s="118">
        <f>F12*Navires!$E$6</f>
        <v>11052</v>
      </c>
      <c r="AR12" s="118">
        <f>G12*Navires!$F$6</f>
        <v>2042.4</v>
      </c>
      <c r="AS12" s="118">
        <f>H12*Navires!$G$6</f>
        <v>9520</v>
      </c>
      <c r="AT12" s="118">
        <f>I12*Navires!$H$6</f>
        <v>6120</v>
      </c>
      <c r="AU12" s="118">
        <f>J12*Navires!$I$6</f>
        <v>6243.2000000000007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12888.96</v>
      </c>
      <c r="BE12" s="118" t="s">
        <v>44</v>
      </c>
      <c r="BF12" s="118">
        <f>C12*Navires!$B$6</f>
        <v>6844.7999999999993</v>
      </c>
      <c r="BG12" s="118">
        <f>D12*Navires!$B$6</f>
        <v>1140.8</v>
      </c>
      <c r="BH12" s="118">
        <f>E12*Navires!$B$6</f>
        <v>0</v>
      </c>
      <c r="BI12" s="118">
        <f>F12*Navires!$B$6</f>
        <v>5133.5999999999995</v>
      </c>
      <c r="BJ12" s="118">
        <f>G12*Navires!$B$6</f>
        <v>1711.1999999999998</v>
      </c>
      <c r="BK12" s="118">
        <f>H12*Navires!$B$6</f>
        <v>7985.5999999999995</v>
      </c>
      <c r="BL12" s="118">
        <f>I12*Navires!$B$6</f>
        <v>5133.5999999999995</v>
      </c>
      <c r="BM12" s="118">
        <f>J12*Navires!$B$6</f>
        <v>2281.6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51393.039999999986</v>
      </c>
    </row>
    <row r="13" spans="1:73" x14ac:dyDescent="0.25">
      <c r="A13" t="s">
        <v>57</v>
      </c>
      <c r="B13" s="2" t="s">
        <v>45</v>
      </c>
      <c r="C13" s="2">
        <v>3</v>
      </c>
      <c r="D13" s="2">
        <v>0</v>
      </c>
      <c r="E13" s="2">
        <v>17</v>
      </c>
      <c r="F13" s="2">
        <v>0</v>
      </c>
      <c r="G13" s="2">
        <v>0</v>
      </c>
      <c r="H13" s="2">
        <v>7</v>
      </c>
      <c r="I13" s="2">
        <v>10</v>
      </c>
      <c r="J13" s="2">
        <v>4</v>
      </c>
      <c r="K13" s="2"/>
      <c r="L13" s="2"/>
      <c r="M13" s="2"/>
      <c r="N13" s="2"/>
      <c r="O13" s="2"/>
      <c r="P13" s="2"/>
      <c r="Q13" s="32"/>
      <c r="R13" s="34">
        <f t="shared" si="0"/>
        <v>41</v>
      </c>
      <c r="S13" s="82">
        <f t="shared" si="1"/>
        <v>9.255079006772009</v>
      </c>
      <c r="U13" s="2" t="s">
        <v>45</v>
      </c>
      <c r="V13" s="2">
        <f>C13*Navires!$B$2</f>
        <v>5865</v>
      </c>
      <c r="W13" s="2">
        <f>D13*Navires!$C$2</f>
        <v>0</v>
      </c>
      <c r="X13" s="2">
        <f>E13*Navires!$D$2</f>
        <v>35802</v>
      </c>
      <c r="Y13" s="2">
        <f>F13*Navires!$E$2</f>
        <v>0</v>
      </c>
      <c r="Z13" s="2">
        <f>G13*Navires!$F$2</f>
        <v>0</v>
      </c>
      <c r="AA13" s="2">
        <f>H13*Navires!$G$2</f>
        <v>14000</v>
      </c>
      <c r="AB13" s="2">
        <f>I13*Navires!$H$2</f>
        <v>20000</v>
      </c>
      <c r="AC13" s="2">
        <f>J13*Navires!$I$2</f>
        <v>8000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83667</v>
      </c>
      <c r="AM13" s="118" t="s">
        <v>45</v>
      </c>
      <c r="AN13" s="118">
        <f>C13*Navires!$B$6</f>
        <v>1711.1999999999998</v>
      </c>
      <c r="AO13" s="118">
        <f>D13*Navires!$C$6</f>
        <v>0</v>
      </c>
      <c r="AP13" s="118">
        <f>E13*Navires!$D$6</f>
        <v>13600</v>
      </c>
      <c r="AQ13" s="118">
        <f>F13*Navires!$E$6</f>
        <v>0</v>
      </c>
      <c r="AR13" s="118">
        <f>G13*Navires!$F$6</f>
        <v>0</v>
      </c>
      <c r="AS13" s="118">
        <f>H13*Navires!$G$6</f>
        <v>4760</v>
      </c>
      <c r="AT13" s="118">
        <f>I13*Navires!$H$6</f>
        <v>6800</v>
      </c>
      <c r="AU13" s="118">
        <f>J13*Navires!$I$6</f>
        <v>6243.2000000000007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16557.2</v>
      </c>
      <c r="BE13" s="118" t="s">
        <v>45</v>
      </c>
      <c r="BF13" s="118">
        <f>C13*Navires!$B$6</f>
        <v>1711.1999999999998</v>
      </c>
      <c r="BG13" s="118">
        <f>D13*Navires!$B$6</f>
        <v>0</v>
      </c>
      <c r="BH13" s="118">
        <f>E13*Navires!$B$6</f>
        <v>9696.7999999999993</v>
      </c>
      <c r="BI13" s="118">
        <f>F13*Navires!$B$6</f>
        <v>0</v>
      </c>
      <c r="BJ13" s="118">
        <f>G13*Navires!$B$6</f>
        <v>0</v>
      </c>
      <c r="BK13" s="118">
        <f>H13*Navires!$B$6</f>
        <v>3992.7999999999997</v>
      </c>
      <c r="BL13" s="118">
        <f>I13*Navires!$B$6</f>
        <v>5704</v>
      </c>
      <c r="BM13" s="118">
        <f>J13*Navires!$B$6</f>
        <v>2281.6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39756.879999999997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  <c r="L14" s="2"/>
      <c r="M14" s="2"/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/>
      <c r="L15" s="2"/>
      <c r="M15" s="2"/>
      <c r="N15" s="2"/>
      <c r="O15" s="2"/>
      <c r="P15" s="2"/>
      <c r="Q15" s="32"/>
      <c r="R15" s="34">
        <f t="shared" si="0"/>
        <v>0</v>
      </c>
      <c r="S15" s="82">
        <f t="shared" si="1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60</v>
      </c>
      <c r="D16" s="30">
        <f t="shared" ref="D16:Q16" si="2">SUM(D4:D15)</f>
        <v>46</v>
      </c>
      <c r="E16" s="30">
        <f>SUM(E4:E15)</f>
        <v>114</v>
      </c>
      <c r="F16" s="30">
        <f t="shared" si="2"/>
        <v>61</v>
      </c>
      <c r="G16" s="30">
        <f t="shared" si="2"/>
        <v>36</v>
      </c>
      <c r="H16" s="30">
        <f t="shared" si="2"/>
        <v>61</v>
      </c>
      <c r="I16" s="30">
        <f t="shared" si="2"/>
        <v>69</v>
      </c>
      <c r="J16" s="30">
        <f t="shared" si="2"/>
        <v>8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455</v>
      </c>
      <c r="S16" s="82">
        <f t="shared" si="1"/>
        <v>8.728179551122194</v>
      </c>
      <c r="U16" s="29" t="s">
        <v>60</v>
      </c>
      <c r="V16" s="30">
        <f>SUM(V4:V15)</f>
        <v>117300</v>
      </c>
      <c r="W16" s="30">
        <f t="shared" ref="W16:AJ16" si="3">SUM(W4:W15)</f>
        <v>89930</v>
      </c>
      <c r="X16" s="30">
        <f t="shared" si="3"/>
        <v>240084</v>
      </c>
      <c r="Y16" s="30">
        <f t="shared" si="3"/>
        <v>114680</v>
      </c>
      <c r="Z16" s="30">
        <f t="shared" si="3"/>
        <v>68256</v>
      </c>
      <c r="AA16" s="30">
        <f t="shared" si="3"/>
        <v>122000</v>
      </c>
      <c r="AB16" s="30">
        <f t="shared" si="3"/>
        <v>138000</v>
      </c>
      <c r="AC16" s="30">
        <f t="shared" si="3"/>
        <v>16000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34224</v>
      </c>
      <c r="AO16" s="30">
        <f t="shared" ref="AO16:BB16" si="4">SUM(AO4:AO15)</f>
        <v>26238.399999999998</v>
      </c>
      <c r="AP16" s="30">
        <f t="shared" si="4"/>
        <v>91200</v>
      </c>
      <c r="AQ16" s="30">
        <f t="shared" si="4"/>
        <v>74908</v>
      </c>
      <c r="AR16" s="30">
        <f t="shared" si="4"/>
        <v>24508.800000000003</v>
      </c>
      <c r="AS16" s="30">
        <f t="shared" si="4"/>
        <v>41480</v>
      </c>
      <c r="AT16" s="30">
        <f t="shared" si="4"/>
        <v>46920</v>
      </c>
      <c r="AU16" s="30">
        <f t="shared" si="4"/>
        <v>12486.400000000001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34224</v>
      </c>
      <c r="BG16" s="30">
        <f t="shared" ref="BG16:BT16" si="5">SUM(BG4:BG15)</f>
        <v>26238.399999999998</v>
      </c>
      <c r="BH16" s="30">
        <f t="shared" si="5"/>
        <v>65025.599999999991</v>
      </c>
      <c r="BI16" s="30">
        <f t="shared" si="5"/>
        <v>34794.399999999994</v>
      </c>
      <c r="BJ16" s="30">
        <f t="shared" si="5"/>
        <v>20534.400000000001</v>
      </c>
      <c r="BK16" s="30">
        <f t="shared" si="5"/>
        <v>34794.400000000001</v>
      </c>
      <c r="BL16" s="30">
        <f t="shared" si="5"/>
        <v>39357.599999999999</v>
      </c>
      <c r="BM16" s="30">
        <f t="shared" si="5"/>
        <v>4563.2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66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0</v>
      </c>
      <c r="E21" s="2">
        <v>17</v>
      </c>
      <c r="F21" s="2">
        <v>0</v>
      </c>
      <c r="G21" s="2">
        <v>2</v>
      </c>
      <c r="H21" s="2">
        <v>0</v>
      </c>
      <c r="I21" s="2">
        <v>12</v>
      </c>
      <c r="J21" s="2">
        <v>0</v>
      </c>
      <c r="K21" s="2"/>
      <c r="L21" s="2"/>
      <c r="M21" s="2"/>
      <c r="N21" s="2"/>
      <c r="O21" s="2"/>
      <c r="P21" s="2"/>
      <c r="Q21" s="32"/>
      <c r="R21" s="34">
        <f>SUM(C21:Q21)</f>
        <v>31</v>
      </c>
      <c r="S21" s="82">
        <f>R21/R36</f>
        <v>6.9977426636568856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35802</v>
      </c>
      <c r="Y21" s="2">
        <f>F21*Navires!$E$2</f>
        <v>0</v>
      </c>
      <c r="Z21" s="2">
        <f>G21*Navires!$F$2</f>
        <v>3792</v>
      </c>
      <c r="AA21" s="2">
        <f>H21*Navires!$G$2</f>
        <v>0</v>
      </c>
      <c r="AB21" s="2">
        <f>I21*Navires!$H$2</f>
        <v>24000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63594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13600</v>
      </c>
      <c r="AQ21" s="118">
        <f>F21*Navires!$E$6</f>
        <v>0</v>
      </c>
      <c r="AR21" s="118">
        <f>G21*Navires!$F$6</f>
        <v>1361.6000000000001</v>
      </c>
      <c r="AS21" s="118">
        <f>H21*Navires!$G$6</f>
        <v>0</v>
      </c>
      <c r="AT21" s="118">
        <f>I21*Navires!$H$6</f>
        <v>8160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11560.8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9696.7999999999993</v>
      </c>
      <c r="BI21" s="118">
        <f>F21*Navires!$B$6</f>
        <v>0</v>
      </c>
      <c r="BJ21" s="118">
        <f>G21*Navires!$B$6</f>
        <v>1140.8</v>
      </c>
      <c r="BK21" s="118">
        <f>H21*Navires!$B$6</f>
        <v>0</v>
      </c>
      <c r="BL21" s="118">
        <f>I21*Navires!$B$6</f>
        <v>6844.7999999999993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12377.679999999998</v>
      </c>
    </row>
    <row r="22" spans="1:73" x14ac:dyDescent="0.25">
      <c r="A22" t="s">
        <v>49</v>
      </c>
      <c r="B22" s="2" t="s">
        <v>37</v>
      </c>
      <c r="C22" s="2">
        <v>5</v>
      </c>
      <c r="D22" s="2">
        <v>0</v>
      </c>
      <c r="E22">
        <v>15</v>
      </c>
      <c r="F22" s="2">
        <v>0</v>
      </c>
      <c r="G22" s="2">
        <v>1</v>
      </c>
      <c r="H22" s="2">
        <v>0</v>
      </c>
      <c r="I22" s="2">
        <v>8</v>
      </c>
      <c r="J22" s="2">
        <v>0</v>
      </c>
      <c r="K22" s="2"/>
      <c r="L22" s="2"/>
      <c r="M22" s="2"/>
      <c r="N22" s="2"/>
      <c r="O22" s="2"/>
      <c r="P22" s="2"/>
      <c r="Q22" s="32"/>
      <c r="R22" s="34">
        <f t="shared" ref="R22:R33" si="6">SUM(C22:Q22)</f>
        <v>29</v>
      </c>
      <c r="S22" s="82">
        <f t="shared" ref="S22:S33" si="7">R22/R37</f>
        <v>7.25</v>
      </c>
      <c r="U22" s="2" t="s">
        <v>37</v>
      </c>
      <c r="V22" s="2">
        <f>C22*Navires!$B$2</f>
        <v>9775</v>
      </c>
      <c r="W22" s="2">
        <f>D22*Navires!$C$2</f>
        <v>0</v>
      </c>
      <c r="X22" s="2">
        <f>E22*Navires!$D$2</f>
        <v>31590</v>
      </c>
      <c r="Y22" s="2">
        <f>F22*Navires!$E$2</f>
        <v>0</v>
      </c>
      <c r="Z22" s="2">
        <f>G22*Navires!$F$2</f>
        <v>1896</v>
      </c>
      <c r="AA22" s="2">
        <f>H22*Navires!$G$2</f>
        <v>0</v>
      </c>
      <c r="AB22" s="2">
        <f>I22*Navires!$H$2</f>
        <v>16000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59261</v>
      </c>
      <c r="AM22" s="118" t="s">
        <v>37</v>
      </c>
      <c r="AN22" s="118">
        <f>C22*Navires!$B$6</f>
        <v>2852</v>
      </c>
      <c r="AO22" s="118">
        <f>D22*Navires!$C$6</f>
        <v>0</v>
      </c>
      <c r="AP22" s="118">
        <f>E22*Navires!$D$6</f>
        <v>12000</v>
      </c>
      <c r="AQ22" s="118">
        <f>F22*Navires!$E$6</f>
        <v>0</v>
      </c>
      <c r="AR22" s="118">
        <f>G22*Navires!$F$6</f>
        <v>680.80000000000007</v>
      </c>
      <c r="AS22" s="118">
        <f>H22*Navires!$G$6</f>
        <v>0</v>
      </c>
      <c r="AT22" s="118">
        <f>I22*Navires!$H$6</f>
        <v>5440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10486.4</v>
      </c>
      <c r="BE22" s="118" t="s">
        <v>37</v>
      </c>
      <c r="BF22" s="118">
        <f>C22*Navires!$B$6</f>
        <v>2852</v>
      </c>
      <c r="BG22" s="118">
        <f>D22*Navires!$B$6</f>
        <v>0</v>
      </c>
      <c r="BH22" s="118">
        <f>E22*Navires!$B$6</f>
        <v>8556</v>
      </c>
      <c r="BI22" s="118">
        <f>F22*Navires!$B$6</f>
        <v>0</v>
      </c>
      <c r="BJ22" s="118">
        <f>G22*Navires!$B$6</f>
        <v>570.4</v>
      </c>
      <c r="BK22" s="118">
        <f>H22*Navires!$B$6</f>
        <v>0</v>
      </c>
      <c r="BL22" s="118">
        <f>I22*Navires!$B$6</f>
        <v>4563.2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11579.119999999999</v>
      </c>
    </row>
    <row r="23" spans="1:73" x14ac:dyDescent="0.25">
      <c r="A23" t="s">
        <v>50</v>
      </c>
      <c r="B23" s="2" t="s">
        <v>38</v>
      </c>
      <c r="C23" s="2">
        <v>15</v>
      </c>
      <c r="D23" s="2">
        <v>0</v>
      </c>
      <c r="E23" s="2">
        <v>16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/>
      <c r="L23" s="2"/>
      <c r="M23" s="2"/>
      <c r="N23" s="2"/>
      <c r="O23" s="2"/>
      <c r="P23" s="2"/>
      <c r="Q23" s="32"/>
      <c r="R23" s="34">
        <f t="shared" si="6"/>
        <v>32</v>
      </c>
      <c r="S23" s="82">
        <f t="shared" si="7"/>
        <v>7.2234762979683982</v>
      </c>
      <c r="U23" s="2" t="s">
        <v>38</v>
      </c>
      <c r="V23" s="2">
        <f>C23*Navires!$B$2</f>
        <v>29325</v>
      </c>
      <c r="W23" s="2">
        <f>D23*Navires!$C$2</f>
        <v>0</v>
      </c>
      <c r="X23" s="2">
        <f>E23*Navires!$D$2</f>
        <v>33696</v>
      </c>
      <c r="Y23" s="2">
        <f>F23*Navires!$E$2</f>
        <v>1880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64901</v>
      </c>
      <c r="AM23" s="118" t="s">
        <v>38</v>
      </c>
      <c r="AN23" s="118">
        <f>C23*Navires!$B$6</f>
        <v>8556</v>
      </c>
      <c r="AO23" s="118">
        <f>D23*Navires!$C$6</f>
        <v>0</v>
      </c>
      <c r="AP23" s="118">
        <f>E23*Navires!$D$6</f>
        <v>12800</v>
      </c>
      <c r="AQ23" s="118">
        <f>F23*Navires!$E$6</f>
        <v>1228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11292</v>
      </c>
      <c r="BE23" s="118" t="s">
        <v>38</v>
      </c>
      <c r="BF23" s="118">
        <f>C23*Navires!$B$6</f>
        <v>8556</v>
      </c>
      <c r="BG23" s="118">
        <f>D23*Navires!$B$6</f>
        <v>0</v>
      </c>
      <c r="BH23" s="118">
        <f>E23*Navires!$B$6</f>
        <v>9126.4</v>
      </c>
      <c r="BI23" s="118">
        <f>F23*Navires!$B$6</f>
        <v>570.4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12776.960000000001</v>
      </c>
    </row>
    <row r="24" spans="1:73" x14ac:dyDescent="0.25">
      <c r="A24" t="s">
        <v>51</v>
      </c>
      <c r="B24" s="2" t="s">
        <v>39</v>
      </c>
      <c r="C24" s="2">
        <v>1</v>
      </c>
      <c r="D24" s="2">
        <v>6</v>
      </c>
      <c r="E24" s="2">
        <v>23</v>
      </c>
      <c r="F24" s="2">
        <v>12</v>
      </c>
      <c r="G24" s="2">
        <v>0</v>
      </c>
      <c r="H24" s="2">
        <v>2</v>
      </c>
      <c r="I24" s="2">
        <v>0</v>
      </c>
      <c r="J24" s="2">
        <v>0</v>
      </c>
      <c r="K24" s="2"/>
      <c r="L24" s="2"/>
      <c r="M24" s="2"/>
      <c r="N24" s="2"/>
      <c r="O24" s="2"/>
      <c r="P24" s="2"/>
      <c r="Q24" s="32"/>
      <c r="R24" s="34">
        <f t="shared" si="6"/>
        <v>44</v>
      </c>
      <c r="S24" s="82">
        <f t="shared" si="7"/>
        <v>10.2803738317757</v>
      </c>
      <c r="U24" s="2" t="s">
        <v>39</v>
      </c>
      <c r="V24" s="2">
        <f>C24*Navires!$B$2</f>
        <v>1955</v>
      </c>
      <c r="W24" s="2">
        <f>D24*Navires!$C$2</f>
        <v>11730</v>
      </c>
      <c r="X24" s="2">
        <f>E24*Navires!$D$2</f>
        <v>48438</v>
      </c>
      <c r="Y24" s="2">
        <f>F24*Navires!$E$2</f>
        <v>22560</v>
      </c>
      <c r="Z24" s="2">
        <f>G24*Navires!$F$2</f>
        <v>0</v>
      </c>
      <c r="AA24" s="2">
        <f>H24*Navires!$G$2</f>
        <v>4000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88683</v>
      </c>
      <c r="AM24" s="118" t="s">
        <v>39</v>
      </c>
      <c r="AN24" s="118">
        <f>C24*Navires!$B$6</f>
        <v>570.4</v>
      </c>
      <c r="AO24" s="118">
        <f>D24*Navires!$C$6</f>
        <v>3422.3999999999996</v>
      </c>
      <c r="AP24" s="118">
        <f>E24*Navires!$D$6</f>
        <v>18400</v>
      </c>
      <c r="AQ24" s="118">
        <f>F24*Navires!$E$6</f>
        <v>14736</v>
      </c>
      <c r="AR24" s="118">
        <f>G24*Navires!$F$6</f>
        <v>0</v>
      </c>
      <c r="AS24" s="118">
        <f>H24*Navires!$G$6</f>
        <v>1360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19244.400000000001</v>
      </c>
      <c r="BE24" s="118" t="s">
        <v>39</v>
      </c>
      <c r="BF24" s="118">
        <f>C24*Navires!$B$6</f>
        <v>570.4</v>
      </c>
      <c r="BG24" s="118">
        <f>D24*Navires!$B$6</f>
        <v>3422.3999999999996</v>
      </c>
      <c r="BH24" s="118">
        <f>E24*Navires!$B$6</f>
        <v>13119.199999999999</v>
      </c>
      <c r="BI24" s="118">
        <f>F24*Navires!$B$6</f>
        <v>6844.7999999999993</v>
      </c>
      <c r="BJ24" s="118">
        <f>G24*Navires!$B$6</f>
        <v>0</v>
      </c>
      <c r="BK24" s="118">
        <f>H24*Navires!$B$6</f>
        <v>1140.8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42665.919999999998</v>
      </c>
    </row>
    <row r="25" spans="1:73" x14ac:dyDescent="0.25">
      <c r="A25" t="s">
        <v>52</v>
      </c>
      <c r="B25" s="2" t="s">
        <v>40</v>
      </c>
      <c r="C25" s="2">
        <v>0</v>
      </c>
      <c r="D25" s="2">
        <v>5</v>
      </c>
      <c r="E25" s="2">
        <v>23</v>
      </c>
      <c r="F25" s="2">
        <v>2</v>
      </c>
      <c r="G25" s="2">
        <v>0</v>
      </c>
      <c r="H25" s="2">
        <v>14</v>
      </c>
      <c r="I25" s="2">
        <v>0</v>
      </c>
      <c r="J25" s="2">
        <v>0</v>
      </c>
      <c r="K25" s="2"/>
      <c r="L25" s="2"/>
      <c r="M25" s="2"/>
      <c r="N25" s="2"/>
      <c r="O25" s="2"/>
      <c r="P25" s="2"/>
      <c r="Q25" s="32"/>
      <c r="R25" s="34">
        <f t="shared" si="6"/>
        <v>44</v>
      </c>
      <c r="S25" s="82">
        <f t="shared" si="7"/>
        <v>9.9322799097065477</v>
      </c>
      <c r="U25" s="2" t="s">
        <v>40</v>
      </c>
      <c r="V25" s="2">
        <f>C25*Navires!$B$2</f>
        <v>0</v>
      </c>
      <c r="W25" s="2">
        <f>D25*Navires!$C$2</f>
        <v>9775</v>
      </c>
      <c r="X25" s="2">
        <f>E25*Navires!$D$2</f>
        <v>48438</v>
      </c>
      <c r="Y25" s="2">
        <f>F25*Navires!$E$2</f>
        <v>3760</v>
      </c>
      <c r="Z25" s="2">
        <f>G25*Navires!$F$2</f>
        <v>0</v>
      </c>
      <c r="AA25" s="2">
        <f>H25*Navires!$G$2</f>
        <v>28000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89973</v>
      </c>
      <c r="AM25" s="118" t="s">
        <v>40</v>
      </c>
      <c r="AN25" s="118">
        <f>C25*Navires!$B$6</f>
        <v>0</v>
      </c>
      <c r="AO25" s="118">
        <f>D25*Navires!$C$6</f>
        <v>2852</v>
      </c>
      <c r="AP25" s="118">
        <f>E25*Navires!$D$6</f>
        <v>18400</v>
      </c>
      <c r="AQ25" s="118">
        <f>F25*Navires!$E$6</f>
        <v>2456</v>
      </c>
      <c r="AR25" s="118">
        <f>G25*Navires!$F$6</f>
        <v>0</v>
      </c>
      <c r="AS25" s="118">
        <f>H25*Navires!$G$6</f>
        <v>9520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9968.4</v>
      </c>
      <c r="BE25" s="118" t="s">
        <v>40</v>
      </c>
      <c r="BF25" s="118">
        <f>C25*Navires!$B$6</f>
        <v>0</v>
      </c>
      <c r="BG25" s="118">
        <f>D25*Navires!$B$6</f>
        <v>2852</v>
      </c>
      <c r="BH25" s="118">
        <f>E25*Navires!$B$6</f>
        <v>13119.199999999999</v>
      </c>
      <c r="BI25" s="118">
        <f>F25*Navires!$B$6</f>
        <v>1140.8</v>
      </c>
      <c r="BJ25" s="118">
        <f>G25*Navires!$B$6</f>
        <v>0</v>
      </c>
      <c r="BK25" s="118">
        <f>H25*Navires!$B$6</f>
        <v>7985.5999999999995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42665.919999999998</v>
      </c>
    </row>
    <row r="26" spans="1:73" x14ac:dyDescent="0.25">
      <c r="A26" t="s">
        <v>53</v>
      </c>
      <c r="B26" s="2" t="s">
        <v>41</v>
      </c>
      <c r="C26" s="2">
        <v>2</v>
      </c>
      <c r="D26" s="2">
        <v>14</v>
      </c>
      <c r="E26" s="2">
        <v>5</v>
      </c>
      <c r="F26" s="2">
        <v>5</v>
      </c>
      <c r="G26" s="2">
        <v>2</v>
      </c>
      <c r="H26" s="2">
        <v>12</v>
      </c>
      <c r="I26" s="2">
        <v>8</v>
      </c>
      <c r="J26" s="2">
        <v>1</v>
      </c>
      <c r="K26" s="2"/>
      <c r="L26" s="2"/>
      <c r="M26" s="2"/>
      <c r="N26" s="2"/>
      <c r="O26" s="2"/>
      <c r="P26" s="2"/>
      <c r="Q26" s="32"/>
      <c r="R26" s="34">
        <f t="shared" si="6"/>
        <v>49</v>
      </c>
      <c r="S26" s="82">
        <f t="shared" si="7"/>
        <v>11.448598130841122</v>
      </c>
      <c r="U26" s="2" t="s">
        <v>41</v>
      </c>
      <c r="V26" s="2">
        <f>C26*Navires!$B$2</f>
        <v>3910</v>
      </c>
      <c r="W26" s="2">
        <f>D26*Navires!$C$2</f>
        <v>27370</v>
      </c>
      <c r="X26" s="2">
        <f>E26*Navires!$D$2</f>
        <v>10530</v>
      </c>
      <c r="Y26" s="2">
        <f>F26*Navires!$E$2</f>
        <v>9400</v>
      </c>
      <c r="Z26" s="2">
        <f>G26*Navires!$F$2</f>
        <v>3792</v>
      </c>
      <c r="AA26" s="2">
        <f>H26*Navires!$G$2</f>
        <v>24000</v>
      </c>
      <c r="AB26" s="2">
        <f>I26*Navires!$H$2</f>
        <v>16000</v>
      </c>
      <c r="AC26" s="2">
        <f>J26*Navires!$I$2</f>
        <v>2000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97002</v>
      </c>
      <c r="AM26" s="118" t="s">
        <v>41</v>
      </c>
      <c r="AN26" s="118">
        <f>C26*Navires!$B$6</f>
        <v>1140.8</v>
      </c>
      <c r="AO26" s="118">
        <f>D26*Navires!$C$6</f>
        <v>7985.5999999999995</v>
      </c>
      <c r="AP26" s="118">
        <f>E26*Navires!$D$6</f>
        <v>4000</v>
      </c>
      <c r="AQ26" s="118">
        <f>F26*Navires!$E$6</f>
        <v>6140</v>
      </c>
      <c r="AR26" s="118">
        <f>G26*Navires!$F$6</f>
        <v>1361.6000000000001</v>
      </c>
      <c r="AS26" s="118">
        <f>H26*Navires!$G$6</f>
        <v>8160</v>
      </c>
      <c r="AT26" s="118">
        <f>I26*Navires!$H$6</f>
        <v>5440</v>
      </c>
      <c r="AU26" s="118">
        <f>J26*Navires!$I$6</f>
        <v>1560.8000000000002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10736.640000000001</v>
      </c>
      <c r="BE26" s="118" t="s">
        <v>41</v>
      </c>
      <c r="BF26" s="118">
        <f>C26*Navires!$B$6</f>
        <v>1140.8</v>
      </c>
      <c r="BG26" s="118">
        <f>D26*Navires!$B$6</f>
        <v>7985.5999999999995</v>
      </c>
      <c r="BH26" s="118">
        <f>E26*Navires!$B$6</f>
        <v>2852</v>
      </c>
      <c r="BI26" s="118">
        <f>F26*Navires!$B$6</f>
        <v>2852</v>
      </c>
      <c r="BJ26" s="118">
        <f>G26*Navires!$B$6</f>
        <v>1140.8</v>
      </c>
      <c r="BK26" s="118">
        <f>H26*Navires!$B$6</f>
        <v>6844.7999999999993</v>
      </c>
      <c r="BL26" s="118">
        <f>I26*Navires!$B$6</f>
        <v>4563.2</v>
      </c>
      <c r="BM26" s="118">
        <f>J26*Navires!$B$6</f>
        <v>570.4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47514.32</v>
      </c>
    </row>
    <row r="27" spans="1:73" x14ac:dyDescent="0.25">
      <c r="A27" t="s">
        <v>54</v>
      </c>
      <c r="B27" s="2" t="s">
        <v>42</v>
      </c>
      <c r="C27" s="2">
        <v>10</v>
      </c>
      <c r="D27" s="2">
        <v>10</v>
      </c>
      <c r="E27" s="2">
        <v>0</v>
      </c>
      <c r="F27" s="2">
        <v>10</v>
      </c>
      <c r="G27" s="2">
        <v>15</v>
      </c>
      <c r="H27" s="2">
        <v>7</v>
      </c>
      <c r="I27" s="2">
        <v>15</v>
      </c>
      <c r="J27" s="2">
        <v>1</v>
      </c>
      <c r="K27" s="2"/>
      <c r="L27" s="2"/>
      <c r="M27" s="2"/>
      <c r="N27" s="2"/>
      <c r="O27" s="2"/>
      <c r="P27" s="2"/>
      <c r="Q27" s="32"/>
      <c r="R27" s="34">
        <f t="shared" si="6"/>
        <v>68</v>
      </c>
      <c r="S27" s="82">
        <f t="shared" si="7"/>
        <v>15.349887133182845</v>
      </c>
      <c r="U27" s="2" t="s">
        <v>42</v>
      </c>
      <c r="V27" s="2">
        <f>C27*Navires!$B$2</f>
        <v>19550</v>
      </c>
      <c r="W27" s="2">
        <f>D27*Navires!$C$2</f>
        <v>19550</v>
      </c>
      <c r="X27" s="2">
        <f>E27*Navires!$D$2</f>
        <v>0</v>
      </c>
      <c r="Y27" s="2">
        <f>F27*Navires!$E$2</f>
        <v>18800</v>
      </c>
      <c r="Z27" s="2">
        <f>G27*Navires!$F$2</f>
        <v>28440</v>
      </c>
      <c r="AA27" s="2">
        <f>H27*Navires!$G$2</f>
        <v>14000</v>
      </c>
      <c r="AB27" s="2">
        <f>I27*Navires!$H$2</f>
        <v>30000</v>
      </c>
      <c r="AC27" s="2">
        <f>J27*Navires!$I$2</f>
        <v>2000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132340</v>
      </c>
      <c r="AM27" s="118" t="s">
        <v>42</v>
      </c>
      <c r="AN27" s="118">
        <f>C27*Navires!$B$6</f>
        <v>5704</v>
      </c>
      <c r="AO27" s="118">
        <f>D27*Navires!$C$6</f>
        <v>5704</v>
      </c>
      <c r="AP27" s="118">
        <f>E27*Navires!$D$6</f>
        <v>0</v>
      </c>
      <c r="AQ27" s="118">
        <f>F27*Navires!$E$6</f>
        <v>12280</v>
      </c>
      <c r="AR27" s="118">
        <f>G27*Navires!$F$6</f>
        <v>10212.000000000002</v>
      </c>
      <c r="AS27" s="118">
        <f>H27*Navires!$G$6</f>
        <v>4760</v>
      </c>
      <c r="AT27" s="118">
        <f>I27*Navires!$H$6</f>
        <v>10200</v>
      </c>
      <c r="AU27" s="118">
        <f>J27*Navires!$I$6</f>
        <v>1560.8000000000002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15126.24</v>
      </c>
      <c r="BE27" s="118" t="s">
        <v>42</v>
      </c>
      <c r="BF27" s="118">
        <f>C27*Navires!$B$6</f>
        <v>5704</v>
      </c>
      <c r="BG27" s="118">
        <f>D27*Navires!$B$6</f>
        <v>5704</v>
      </c>
      <c r="BH27" s="118">
        <f>E27*Navires!$B$6</f>
        <v>0</v>
      </c>
      <c r="BI27" s="118">
        <f>F27*Navires!$B$6</f>
        <v>5704</v>
      </c>
      <c r="BJ27" s="118">
        <f>G27*Navires!$B$6</f>
        <v>8556</v>
      </c>
      <c r="BK27" s="118">
        <f>H27*Navires!$B$6</f>
        <v>3992.7999999999997</v>
      </c>
      <c r="BL27" s="118">
        <f>I27*Navires!$B$6</f>
        <v>8556</v>
      </c>
      <c r="BM27" s="118">
        <f>J27*Navires!$B$6</f>
        <v>570.4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65938.240000000005</v>
      </c>
    </row>
    <row r="28" spans="1:73" x14ac:dyDescent="0.25">
      <c r="A28" t="s">
        <v>55</v>
      </c>
      <c r="B28" s="2" t="s">
        <v>43</v>
      </c>
      <c r="C28" s="2">
        <v>8</v>
      </c>
      <c r="D28" s="2">
        <v>10</v>
      </c>
      <c r="E28" s="2">
        <v>0</v>
      </c>
      <c r="F28" s="2">
        <v>21</v>
      </c>
      <c r="G28" s="2">
        <v>10</v>
      </c>
      <c r="H28" s="2">
        <v>9</v>
      </c>
      <c r="I28" s="2">
        <v>6</v>
      </c>
      <c r="J28" s="2">
        <v>4</v>
      </c>
      <c r="K28" s="2"/>
      <c r="L28" s="2"/>
      <c r="M28" s="2"/>
      <c r="N28" s="2"/>
      <c r="O28" s="2"/>
      <c r="P28" s="2"/>
      <c r="Q28" s="32"/>
      <c r="R28" s="34">
        <f t="shared" si="6"/>
        <v>68</v>
      </c>
      <c r="S28" s="82">
        <f t="shared" si="7"/>
        <v>15.349887133182845</v>
      </c>
      <c r="U28" s="2" t="s">
        <v>43</v>
      </c>
      <c r="V28" s="2">
        <f>C28*Navires!$B$2</f>
        <v>15640</v>
      </c>
      <c r="W28" s="2">
        <f>D28*Navires!$C$2</f>
        <v>19550</v>
      </c>
      <c r="X28" s="2">
        <f>E28*Navires!$D$2</f>
        <v>0</v>
      </c>
      <c r="Y28" s="2">
        <f>F28*Navires!$E$2</f>
        <v>39480</v>
      </c>
      <c r="Z28" s="2">
        <f>G28*Navires!$F$2</f>
        <v>18960</v>
      </c>
      <c r="AA28" s="2">
        <f>H28*Navires!$G$2</f>
        <v>18000</v>
      </c>
      <c r="AB28" s="2">
        <f>I28*Navires!$H$2</f>
        <v>12000</v>
      </c>
      <c r="AC28" s="2">
        <f>J28*Navires!$I$2</f>
        <v>8000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131630</v>
      </c>
      <c r="AM28" s="118" t="s">
        <v>43</v>
      </c>
      <c r="AN28" s="118">
        <f>C28*Navires!$B$6</f>
        <v>4563.2</v>
      </c>
      <c r="AO28" s="118">
        <f>D28*Navires!$C$6</f>
        <v>5704</v>
      </c>
      <c r="AP28" s="118">
        <f>E28*Navires!$D$6</f>
        <v>0</v>
      </c>
      <c r="AQ28" s="118">
        <f>F28*Navires!$E$6</f>
        <v>25788</v>
      </c>
      <c r="AR28" s="118">
        <f>G28*Navires!$F$6</f>
        <v>6808.0000000000009</v>
      </c>
      <c r="AS28" s="118">
        <f>H28*Navires!$G$6</f>
        <v>6120</v>
      </c>
      <c r="AT28" s="118">
        <f>I28*Navires!$H$6</f>
        <v>4080</v>
      </c>
      <c r="AU28" s="118">
        <f>J28*Navires!$I$6</f>
        <v>6243.2000000000007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17791.919999999998</v>
      </c>
      <c r="BE28" s="118" t="s">
        <v>43</v>
      </c>
      <c r="BF28" s="118">
        <f>C28*Navires!$B$6</f>
        <v>4563.2</v>
      </c>
      <c r="BG28" s="118">
        <f>D28*Navires!$B$6</f>
        <v>5704</v>
      </c>
      <c r="BH28" s="118">
        <f>E28*Navires!$B$6</f>
        <v>0</v>
      </c>
      <c r="BI28" s="118">
        <f>F28*Navires!$B$6</f>
        <v>11978.4</v>
      </c>
      <c r="BJ28" s="118">
        <f>G28*Navires!$B$6</f>
        <v>5704</v>
      </c>
      <c r="BK28" s="118">
        <f>H28*Navires!$B$6</f>
        <v>5133.5999999999995</v>
      </c>
      <c r="BL28" s="118">
        <f>I28*Navires!$B$6</f>
        <v>3422.3999999999996</v>
      </c>
      <c r="BM28" s="118">
        <f>J28*Navires!$B$6</f>
        <v>2281.6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65938.239999999991</v>
      </c>
    </row>
    <row r="29" spans="1:73" x14ac:dyDescent="0.25">
      <c r="A29" t="s">
        <v>56</v>
      </c>
      <c r="B29" s="2" t="s">
        <v>44</v>
      </c>
      <c r="C29" s="2">
        <v>13</v>
      </c>
      <c r="D29" s="2">
        <v>2</v>
      </c>
      <c r="E29" s="2">
        <v>0</v>
      </c>
      <c r="F29" s="2">
        <v>7</v>
      </c>
      <c r="G29" s="2">
        <v>2</v>
      </c>
      <c r="H29" s="2">
        <v>13</v>
      </c>
      <c r="I29" s="2">
        <v>11</v>
      </c>
      <c r="J29" s="2">
        <v>1</v>
      </c>
      <c r="K29" s="2"/>
      <c r="L29" s="2"/>
      <c r="M29" s="2"/>
      <c r="N29" s="2"/>
      <c r="O29" s="2"/>
      <c r="P29" s="2"/>
      <c r="Q29" s="32"/>
      <c r="R29" s="34">
        <f t="shared" si="6"/>
        <v>49</v>
      </c>
      <c r="S29" s="82">
        <f t="shared" si="7"/>
        <v>11.448598130841122</v>
      </c>
      <c r="U29" s="2" t="s">
        <v>44</v>
      </c>
      <c r="V29" s="2">
        <f>C29*Navires!$B$2</f>
        <v>25415</v>
      </c>
      <c r="W29" s="2">
        <f>D29*Navires!$C$2</f>
        <v>3910</v>
      </c>
      <c r="X29" s="2">
        <f>E29*Navires!$D$2</f>
        <v>0</v>
      </c>
      <c r="Y29" s="2">
        <f>F29*Navires!$E$2</f>
        <v>13160</v>
      </c>
      <c r="Z29" s="2">
        <f>G29*Navires!$F$2</f>
        <v>3792</v>
      </c>
      <c r="AA29" s="2">
        <f>H29*Navires!$G$2</f>
        <v>26000</v>
      </c>
      <c r="AB29" s="2">
        <f>I29*Navires!$H$2</f>
        <v>22000</v>
      </c>
      <c r="AC29" s="2">
        <f>J29*Navires!$I$2</f>
        <v>2000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96277</v>
      </c>
      <c r="AM29" s="118" t="s">
        <v>44</v>
      </c>
      <c r="AN29" s="118">
        <f>C29*Navires!$B$6</f>
        <v>7415.2</v>
      </c>
      <c r="AO29" s="118">
        <f>D29*Navires!$C$6</f>
        <v>1140.8</v>
      </c>
      <c r="AP29" s="118">
        <f>E29*Navires!$D$6</f>
        <v>0</v>
      </c>
      <c r="AQ29" s="118">
        <f>F29*Navires!$E$6</f>
        <v>8596</v>
      </c>
      <c r="AR29" s="118">
        <f>G29*Navires!$F$6</f>
        <v>1361.6000000000001</v>
      </c>
      <c r="AS29" s="118">
        <f>H29*Navires!$G$6</f>
        <v>8840</v>
      </c>
      <c r="AT29" s="118">
        <f>I29*Navires!$H$6</f>
        <v>7480</v>
      </c>
      <c r="AU29" s="118">
        <f>J29*Navires!$I$6</f>
        <v>1560.8000000000002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10918.32</v>
      </c>
      <c r="BE29" s="118" t="s">
        <v>44</v>
      </c>
      <c r="BF29" s="118">
        <f>C29*Navires!$B$6</f>
        <v>7415.2</v>
      </c>
      <c r="BG29" s="118">
        <f>D29*Navires!$B$6</f>
        <v>1140.8</v>
      </c>
      <c r="BH29" s="118">
        <f>E29*Navires!$B$6</f>
        <v>0</v>
      </c>
      <c r="BI29" s="118">
        <f>F29*Navires!$B$6</f>
        <v>3992.7999999999997</v>
      </c>
      <c r="BJ29" s="118">
        <f>G29*Navires!$B$6</f>
        <v>1140.8</v>
      </c>
      <c r="BK29" s="118">
        <f>H29*Navires!$B$6</f>
        <v>7415.2</v>
      </c>
      <c r="BL29" s="118">
        <f>I29*Navires!$B$6</f>
        <v>6274.4</v>
      </c>
      <c r="BM29" s="118">
        <f>J29*Navires!$B$6</f>
        <v>570.4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47514.32</v>
      </c>
    </row>
    <row r="30" spans="1:73" x14ac:dyDescent="0.25">
      <c r="A30" t="s">
        <v>57</v>
      </c>
      <c r="B30" s="2" t="s">
        <v>45</v>
      </c>
      <c r="C30" s="2">
        <v>2</v>
      </c>
      <c r="D30" s="2">
        <v>0</v>
      </c>
      <c r="E30" s="2">
        <v>18</v>
      </c>
      <c r="F30" s="2">
        <v>0</v>
      </c>
      <c r="G30" s="2">
        <v>0</v>
      </c>
      <c r="H30" s="2">
        <v>8</v>
      </c>
      <c r="I30" s="2">
        <v>9</v>
      </c>
      <c r="J30" s="2">
        <v>4</v>
      </c>
      <c r="K30" s="2"/>
      <c r="L30" s="2"/>
      <c r="M30" s="2"/>
      <c r="N30" s="2"/>
      <c r="O30" s="2"/>
      <c r="P30" s="2"/>
      <c r="Q30" s="32"/>
      <c r="R30" s="34">
        <f t="shared" si="6"/>
        <v>41</v>
      </c>
      <c r="S30" s="82">
        <f t="shared" si="7"/>
        <v>9.255079006772009</v>
      </c>
      <c r="U30" s="2" t="s">
        <v>45</v>
      </c>
      <c r="V30" s="2">
        <f>C30*Navires!$B$2</f>
        <v>3910</v>
      </c>
      <c r="W30" s="2">
        <f>D30*Navires!$C$2</f>
        <v>0</v>
      </c>
      <c r="X30" s="2">
        <f>E30*Navires!$D$2</f>
        <v>37908</v>
      </c>
      <c r="Y30" s="2">
        <f>F30*Navires!$E$2</f>
        <v>0</v>
      </c>
      <c r="Z30" s="2">
        <f>G30*Navires!$F$2</f>
        <v>0</v>
      </c>
      <c r="AA30" s="2">
        <f>H30*Navires!$G$2</f>
        <v>16000</v>
      </c>
      <c r="AB30" s="2">
        <f>I30*Navires!$H$2</f>
        <v>18000</v>
      </c>
      <c r="AC30" s="2">
        <f>J30*Navires!$I$2</f>
        <v>8000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83818</v>
      </c>
      <c r="AM30" s="118" t="s">
        <v>45</v>
      </c>
      <c r="AN30" s="118">
        <f>C30*Navires!$B$6</f>
        <v>1140.8</v>
      </c>
      <c r="AO30" s="118">
        <f>D30*Navires!$C$6</f>
        <v>0</v>
      </c>
      <c r="AP30" s="118">
        <f>E30*Navires!$D$6</f>
        <v>14400</v>
      </c>
      <c r="AQ30" s="118">
        <f>F30*Navires!$E$6</f>
        <v>0</v>
      </c>
      <c r="AR30" s="118">
        <f>G30*Navires!$F$6</f>
        <v>0</v>
      </c>
      <c r="AS30" s="118">
        <f>H30*Navires!$G$6</f>
        <v>5440</v>
      </c>
      <c r="AT30" s="118">
        <f>I30*Navires!$H$6</f>
        <v>6120</v>
      </c>
      <c r="AU30" s="118">
        <f>J30*Navires!$I$6</f>
        <v>6243.2000000000007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16672</v>
      </c>
      <c r="BE30" s="118" t="s">
        <v>45</v>
      </c>
      <c r="BF30" s="118">
        <f>C30*Navires!$B$6</f>
        <v>1140.8</v>
      </c>
      <c r="BG30" s="118">
        <f>D30*Navires!$B$6</f>
        <v>0</v>
      </c>
      <c r="BH30" s="118">
        <f>E30*Navires!$B$6</f>
        <v>10267.199999999999</v>
      </c>
      <c r="BI30" s="118">
        <f>F30*Navires!$B$6</f>
        <v>0</v>
      </c>
      <c r="BJ30" s="118">
        <f>G30*Navires!$B$6</f>
        <v>0</v>
      </c>
      <c r="BK30" s="118">
        <f>H30*Navires!$B$6</f>
        <v>4563.2</v>
      </c>
      <c r="BL30" s="118">
        <f>I30*Navires!$B$6</f>
        <v>5133.5999999999995</v>
      </c>
      <c r="BM30" s="118">
        <f>J30*Navires!$B$6</f>
        <v>2281.6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39756.87999999999</v>
      </c>
    </row>
    <row r="31" spans="1:73" x14ac:dyDescent="0.25">
      <c r="A31" t="s">
        <v>58</v>
      </c>
      <c r="B31" s="2" t="s">
        <v>46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/>
      <c r="L31" s="2"/>
      <c r="M31" s="2"/>
      <c r="N31" s="2"/>
      <c r="O31" s="2"/>
      <c r="P31" s="2"/>
      <c r="Q31" s="32"/>
      <c r="R31" s="34">
        <f t="shared" si="6"/>
        <v>0</v>
      </c>
      <c r="S31" s="82">
        <f t="shared" si="7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/>
      <c r="L32" s="2"/>
      <c r="M32" s="2"/>
      <c r="N32" s="2"/>
      <c r="O32" s="2"/>
      <c r="P32" s="2"/>
      <c r="Q32" s="32"/>
      <c r="R32" s="34">
        <f t="shared" si="6"/>
        <v>0</v>
      </c>
      <c r="S32" s="82">
        <f t="shared" si="7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56</v>
      </c>
      <c r="D33" s="34">
        <f t="shared" ref="D33:E33" si="8">SUM(D21:D32)</f>
        <v>47</v>
      </c>
      <c r="E33" s="34">
        <f t="shared" si="8"/>
        <v>117</v>
      </c>
      <c r="F33" s="34">
        <f>SUM(F21:F32)</f>
        <v>58</v>
      </c>
      <c r="G33" s="34">
        <f>SUM(G21:G32)</f>
        <v>32</v>
      </c>
      <c r="H33" s="34">
        <f t="shared" ref="H33:Q33" si="9">SUM(H21:H32)</f>
        <v>65</v>
      </c>
      <c r="I33" s="34">
        <f t="shared" si="9"/>
        <v>69</v>
      </c>
      <c r="J33" s="34">
        <f t="shared" si="9"/>
        <v>11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455</v>
      </c>
      <c r="S33" s="82">
        <f t="shared" si="7"/>
        <v>8.728179551122194</v>
      </c>
      <c r="U33" s="34" t="s">
        <v>60</v>
      </c>
      <c r="V33" s="34">
        <f>SUM(V21:V32)</f>
        <v>109480</v>
      </c>
      <c r="W33" s="34">
        <f t="shared" ref="W33:AJ33" si="10">SUM(W21:W32)</f>
        <v>91885</v>
      </c>
      <c r="X33" s="34">
        <f t="shared" si="10"/>
        <v>246402</v>
      </c>
      <c r="Y33" s="34">
        <f t="shared" si="10"/>
        <v>109040</v>
      </c>
      <c r="Z33" s="34">
        <f t="shared" si="10"/>
        <v>60672</v>
      </c>
      <c r="AA33" s="34">
        <f t="shared" si="10"/>
        <v>130000</v>
      </c>
      <c r="AB33" s="34">
        <f t="shared" si="10"/>
        <v>138000</v>
      </c>
      <c r="AC33" s="34">
        <f t="shared" si="10"/>
        <v>22000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31942.399999999998</v>
      </c>
      <c r="AO33" s="34">
        <f t="shared" ref="AO33:BB33" si="11">SUM(AO21:AO32)</f>
        <v>26808.799999999999</v>
      </c>
      <c r="AP33" s="34">
        <f t="shared" si="11"/>
        <v>93600</v>
      </c>
      <c r="AQ33" s="34">
        <f t="shared" si="11"/>
        <v>71224</v>
      </c>
      <c r="AR33" s="34">
        <f t="shared" si="11"/>
        <v>21785.600000000002</v>
      </c>
      <c r="AS33" s="34">
        <f t="shared" si="11"/>
        <v>44200</v>
      </c>
      <c r="AT33" s="34">
        <f t="shared" si="11"/>
        <v>46920</v>
      </c>
      <c r="AU33" s="34">
        <f t="shared" si="11"/>
        <v>17168.800000000003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31942.399999999998</v>
      </c>
      <c r="BG33" s="118">
        <f>D33*Navires!$B$6</f>
        <v>26808.799999999999</v>
      </c>
      <c r="BH33" s="118">
        <f>E33*Navires!$B$6</f>
        <v>66736.800000000003</v>
      </c>
      <c r="BI33" s="118">
        <f>F33*Navires!$B$6</f>
        <v>33083.199999999997</v>
      </c>
      <c r="BJ33" s="118">
        <f>G33*Navires!$B$6</f>
        <v>18252.8</v>
      </c>
      <c r="BK33" s="118">
        <f>H33*Navires!$B$6</f>
        <v>37076</v>
      </c>
      <c r="BL33" s="118">
        <f>I33*Navires!$B$6</f>
        <v>39357.599999999999</v>
      </c>
      <c r="BM33" s="118">
        <f>J33*Navires!$B$6</f>
        <v>6274.4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  <row r="49" spans="1:37" x14ac:dyDescent="0.25">
      <c r="B49" s="117" t="s">
        <v>155</v>
      </c>
    </row>
    <row r="50" spans="1:37" s="117" customFormat="1" ht="23.25" customHeight="1" x14ac:dyDescent="0.25">
      <c r="C50" s="215" t="s">
        <v>61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V50" s="215" t="s">
        <v>62</v>
      </c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7"/>
    </row>
    <row r="51" spans="1:37" s="117" customFormat="1" ht="23.25" customHeight="1" x14ac:dyDescent="0.25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8"/>
    </row>
    <row r="52" spans="1:37" s="117" customFormat="1" ht="45" x14ac:dyDescent="0.25">
      <c r="C52" s="24" t="s">
        <v>21</v>
      </c>
      <c r="D52" s="24" t="s">
        <v>22</v>
      </c>
      <c r="E52" s="23" t="s">
        <v>23</v>
      </c>
      <c r="F52" s="24" t="s">
        <v>24</v>
      </c>
      <c r="G52" s="24" t="s">
        <v>25</v>
      </c>
      <c r="H52" s="24" t="s">
        <v>26</v>
      </c>
      <c r="I52" s="25" t="s">
        <v>30</v>
      </c>
      <c r="J52" s="25" t="s">
        <v>33</v>
      </c>
      <c r="K52" s="25" t="s">
        <v>65</v>
      </c>
      <c r="L52" s="25" t="s">
        <v>31</v>
      </c>
      <c r="M52" s="25" t="s">
        <v>32</v>
      </c>
      <c r="N52" s="25" t="s">
        <v>29</v>
      </c>
      <c r="O52" s="25" t="s">
        <v>28</v>
      </c>
      <c r="P52" s="24" t="s">
        <v>27</v>
      </c>
      <c r="Q52" s="31" t="s">
        <v>34</v>
      </c>
      <c r="R52" s="33" t="s">
        <v>60</v>
      </c>
      <c r="S52" s="87"/>
      <c r="V52" s="24" t="s">
        <v>21</v>
      </c>
      <c r="W52" s="24" t="s">
        <v>22</v>
      </c>
      <c r="X52" s="24" t="s">
        <v>23</v>
      </c>
      <c r="Y52" s="24" t="s">
        <v>24</v>
      </c>
      <c r="Z52" s="24" t="s">
        <v>25</v>
      </c>
      <c r="AA52" s="24" t="s">
        <v>26</v>
      </c>
      <c r="AB52" s="25" t="s">
        <v>30</v>
      </c>
      <c r="AC52" s="25" t="s">
        <v>33</v>
      </c>
      <c r="AD52" s="25" t="s">
        <v>26</v>
      </c>
      <c r="AE52" s="25" t="s">
        <v>31</v>
      </c>
      <c r="AF52" s="25" t="s">
        <v>32</v>
      </c>
      <c r="AG52" s="25" t="s">
        <v>29</v>
      </c>
      <c r="AH52" s="25" t="s">
        <v>28</v>
      </c>
      <c r="AI52" s="24" t="s">
        <v>27</v>
      </c>
      <c r="AJ52" s="25" t="s">
        <v>34</v>
      </c>
      <c r="AK52" s="33" t="s">
        <v>60</v>
      </c>
    </row>
    <row r="53" spans="1:37" s="117" customFormat="1" x14ac:dyDescent="0.25">
      <c r="A53" s="117">
        <v>6</v>
      </c>
      <c r="B53" s="118" t="s">
        <v>147</v>
      </c>
      <c r="C53" s="118"/>
      <c r="D53" s="118"/>
      <c r="E53" s="117">
        <v>1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32"/>
      <c r="R53" s="34">
        <f t="shared" ref="R53:R58" si="12">SUM(C53:Q53)</f>
        <v>1</v>
      </c>
      <c r="S53" s="135"/>
      <c r="U53" s="118" t="s">
        <v>147</v>
      </c>
      <c r="V53" s="118">
        <f>C53*Navires!$B$2</f>
        <v>0</v>
      </c>
      <c r="W53" s="118">
        <f>D53*Navires!$C$2</f>
        <v>0</v>
      </c>
      <c r="X53" s="118">
        <f>E53*Navires!$D$2</f>
        <v>2106</v>
      </c>
      <c r="Y53" s="118">
        <f>F53*Navires!$E$2</f>
        <v>0</v>
      </c>
      <c r="Z53" s="118">
        <f>G53*Navires!$F$2</f>
        <v>0</v>
      </c>
      <c r="AA53" s="118">
        <f>H53*Navires!$G$2</f>
        <v>0</v>
      </c>
      <c r="AB53" s="118">
        <f>I53*Navires!$H$2</f>
        <v>0</v>
      </c>
      <c r="AC53" s="118">
        <f>J53*Navires!$I$2</f>
        <v>0</v>
      </c>
      <c r="AD53" s="118">
        <f>K53*Navires!$J$2</f>
        <v>0</v>
      </c>
      <c r="AE53" s="118">
        <f>L53*Navires!$K$2</f>
        <v>0</v>
      </c>
      <c r="AF53" s="118">
        <f>M53*Navires!$L$2</f>
        <v>0</v>
      </c>
      <c r="AG53" s="118">
        <f>N53*Navires!$M$2</f>
        <v>0</v>
      </c>
      <c r="AH53" s="118">
        <f>O53*Navires!$N$2</f>
        <v>0</v>
      </c>
      <c r="AI53" s="118">
        <f>P53*Navires!$O$2</f>
        <v>0</v>
      </c>
      <c r="AJ53" s="118">
        <f>Q53*Navires!$P$2</f>
        <v>0</v>
      </c>
      <c r="AK53" s="35">
        <f>(SUM(V53:AJ53))*Générale!$B$8</f>
        <v>2106</v>
      </c>
    </row>
    <row r="54" spans="1:37" s="117" customFormat="1" x14ac:dyDescent="0.25">
      <c r="A54" s="117">
        <v>7</v>
      </c>
      <c r="B54" s="118" t="s">
        <v>148</v>
      </c>
      <c r="C54" s="118"/>
      <c r="D54" s="118"/>
      <c r="E54" s="118"/>
      <c r="F54" s="118"/>
      <c r="G54" s="118">
        <v>1</v>
      </c>
      <c r="H54" s="118"/>
      <c r="I54" s="118"/>
      <c r="J54" s="118"/>
      <c r="K54" s="118"/>
      <c r="L54" s="118"/>
      <c r="M54" s="118"/>
      <c r="N54" s="118"/>
      <c r="O54" s="118"/>
      <c r="P54" s="118"/>
      <c r="Q54" s="32"/>
      <c r="R54" s="34">
        <f t="shared" si="12"/>
        <v>1</v>
      </c>
      <c r="S54" s="135"/>
      <c r="U54" s="118" t="s">
        <v>148</v>
      </c>
      <c r="V54" s="118">
        <f>C54*Navires!$B$2</f>
        <v>0</v>
      </c>
      <c r="W54" s="118">
        <f>D54*Navires!$C$2</f>
        <v>0</v>
      </c>
      <c r="X54" s="118">
        <f>E54*Navires!$D$2</f>
        <v>0</v>
      </c>
      <c r="Y54" s="118">
        <f>F54*Navires!$E$2</f>
        <v>0</v>
      </c>
      <c r="Z54" s="118">
        <f>G54*Navires!$F$2</f>
        <v>1896</v>
      </c>
      <c r="AA54" s="118">
        <f>H54*Navires!$G$2</f>
        <v>0</v>
      </c>
      <c r="AB54" s="118">
        <f>I54*Navires!$H$2</f>
        <v>0</v>
      </c>
      <c r="AC54" s="118">
        <f>J54*Navires!$I$2</f>
        <v>0</v>
      </c>
      <c r="AD54" s="118">
        <f>K54*Navires!$J$2</f>
        <v>0</v>
      </c>
      <c r="AE54" s="118">
        <f>L54*Navires!$K$2</f>
        <v>0</v>
      </c>
      <c r="AF54" s="118">
        <f>M54*Navires!$L$2</f>
        <v>0</v>
      </c>
      <c r="AG54" s="118">
        <f>N54*Navires!$M$2</f>
        <v>0</v>
      </c>
      <c r="AH54" s="118">
        <f>O54*Navires!$N$2</f>
        <v>0</v>
      </c>
      <c r="AI54" s="118">
        <f>P54*Navires!$O$2</f>
        <v>0</v>
      </c>
      <c r="AJ54" s="118">
        <f>Q54*Navires!$P$2</f>
        <v>0</v>
      </c>
      <c r="AK54" s="35">
        <f>(SUM(V54:AJ54))*Générale!$B$8</f>
        <v>1896</v>
      </c>
    </row>
    <row r="55" spans="1:37" s="117" customFormat="1" x14ac:dyDescent="0.25">
      <c r="A55" s="117">
        <v>8</v>
      </c>
      <c r="B55" s="118" t="s">
        <v>149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32"/>
      <c r="R55" s="34">
        <f t="shared" si="12"/>
        <v>0</v>
      </c>
      <c r="S55" s="135"/>
      <c r="U55" s="118" t="s">
        <v>149</v>
      </c>
      <c r="V55" s="118">
        <f>C55*Navires!$B$2</f>
        <v>0</v>
      </c>
      <c r="W55" s="118">
        <f>D55*Navires!$C$2</f>
        <v>0</v>
      </c>
      <c r="X55" s="118">
        <f>E55*Navires!$D$2</f>
        <v>0</v>
      </c>
      <c r="Y55" s="118">
        <f>F55*Navires!$E$2</f>
        <v>0</v>
      </c>
      <c r="Z55" s="118">
        <f>G55*Navires!$F$2</f>
        <v>0</v>
      </c>
      <c r="AA55" s="118">
        <f>H55*Navires!$G$2</f>
        <v>0</v>
      </c>
      <c r="AB55" s="118">
        <f>I55*Navires!$H$2</f>
        <v>0</v>
      </c>
      <c r="AC55" s="118">
        <f>J55*Navires!$I$2</f>
        <v>0</v>
      </c>
      <c r="AD55" s="118">
        <f>K55*Navires!$J$2</f>
        <v>0</v>
      </c>
      <c r="AE55" s="118">
        <f>L55*Navires!$K$2</f>
        <v>0</v>
      </c>
      <c r="AF55" s="118">
        <f>M55*Navires!$L$2</f>
        <v>0</v>
      </c>
      <c r="AG55" s="118">
        <f>N55*Navires!$M$2</f>
        <v>0</v>
      </c>
      <c r="AH55" s="118">
        <f>O55*Navires!$N$2</f>
        <v>0</v>
      </c>
      <c r="AI55" s="118">
        <f>P55*Navires!$O$2</f>
        <v>0</v>
      </c>
      <c r="AJ55" s="118">
        <f>Q55*Navires!$P$2</f>
        <v>0</v>
      </c>
      <c r="AK55" s="35">
        <f>(SUM(V55:AJ55))*Générale!$B$8</f>
        <v>0</v>
      </c>
    </row>
    <row r="56" spans="1:37" s="117" customFormat="1" x14ac:dyDescent="0.25">
      <c r="A56" s="117">
        <v>9</v>
      </c>
      <c r="B56" s="118" t="s">
        <v>150</v>
      </c>
      <c r="C56" s="118"/>
      <c r="D56" s="118"/>
      <c r="E56" s="118"/>
      <c r="F56" s="118"/>
      <c r="G56" s="118"/>
      <c r="H56" s="118"/>
      <c r="I56" s="118">
        <v>1</v>
      </c>
      <c r="J56" s="118"/>
      <c r="K56" s="118"/>
      <c r="L56" s="118"/>
      <c r="M56" s="118"/>
      <c r="N56" s="118"/>
      <c r="O56" s="118"/>
      <c r="P56" s="118"/>
      <c r="Q56" s="32"/>
      <c r="R56" s="34">
        <f t="shared" si="12"/>
        <v>1</v>
      </c>
      <c r="S56" s="135"/>
      <c r="U56" s="118" t="s">
        <v>150</v>
      </c>
      <c r="V56" s="118">
        <f>C56*Navires!$B$2</f>
        <v>0</v>
      </c>
      <c r="W56" s="118">
        <f>D56*Navires!$C$2</f>
        <v>0</v>
      </c>
      <c r="X56" s="118">
        <f>E56*Navires!$D$2</f>
        <v>0</v>
      </c>
      <c r="Y56" s="118">
        <f>F56*Navires!$E$2</f>
        <v>0</v>
      </c>
      <c r="Z56" s="118">
        <f>G56*Navires!$F$2</f>
        <v>0</v>
      </c>
      <c r="AA56" s="118">
        <f>H56*Navires!$G$2</f>
        <v>0</v>
      </c>
      <c r="AB56" s="118">
        <f>I56*Navires!$H$2</f>
        <v>2000</v>
      </c>
      <c r="AC56" s="118">
        <f>J56*Navires!$I$2</f>
        <v>0</v>
      </c>
      <c r="AD56" s="118">
        <f>K56*Navires!$J$2</f>
        <v>0</v>
      </c>
      <c r="AE56" s="118">
        <f>L56*Navires!$K$2</f>
        <v>0</v>
      </c>
      <c r="AF56" s="118">
        <f>M56*Navires!$L$2</f>
        <v>0</v>
      </c>
      <c r="AG56" s="118">
        <f>N56*Navires!$M$2</f>
        <v>0</v>
      </c>
      <c r="AH56" s="118">
        <f>O56*Navires!$N$2</f>
        <v>0</v>
      </c>
      <c r="AI56" s="118">
        <f>P56*Navires!$O$2</f>
        <v>0</v>
      </c>
      <c r="AJ56" s="118">
        <f>Q56*Navires!$P$2</f>
        <v>0</v>
      </c>
      <c r="AK56" s="35">
        <f>(SUM(V56:AJ56))*Générale!$B$8</f>
        <v>2000</v>
      </c>
    </row>
    <row r="57" spans="1:37" s="117" customFormat="1" x14ac:dyDescent="0.25">
      <c r="A57" s="117">
        <v>10</v>
      </c>
      <c r="B57" s="118" t="s">
        <v>151</v>
      </c>
      <c r="C57" s="118"/>
      <c r="D57" s="118"/>
      <c r="E57" s="118">
        <v>1</v>
      </c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2"/>
      <c r="R57" s="34">
        <f t="shared" si="12"/>
        <v>1</v>
      </c>
      <c r="S57" s="135"/>
      <c r="U57" s="118" t="s">
        <v>151</v>
      </c>
      <c r="V57" s="118">
        <f>C57*Navires!$B$2</f>
        <v>0</v>
      </c>
      <c r="W57" s="118">
        <f>D57*Navires!$C$2</f>
        <v>0</v>
      </c>
      <c r="X57" s="118">
        <f>E57*Navires!$D$2</f>
        <v>2106</v>
      </c>
      <c r="Y57" s="118">
        <f>F57*Navires!$E$2</f>
        <v>0</v>
      </c>
      <c r="Z57" s="118">
        <f>G57*Navires!$F$2</f>
        <v>0</v>
      </c>
      <c r="AA57" s="118">
        <f>H57*Navires!$G$2</f>
        <v>0</v>
      </c>
      <c r="AB57" s="118">
        <f>I57*Navires!$H$2</f>
        <v>0</v>
      </c>
      <c r="AC57" s="118">
        <f>J57*Navires!$I$2</f>
        <v>0</v>
      </c>
      <c r="AD57" s="118">
        <f>K57*Navires!$J$2</f>
        <v>0</v>
      </c>
      <c r="AE57" s="118">
        <f>L57*Navires!$K$2</f>
        <v>0</v>
      </c>
      <c r="AF57" s="118">
        <f>M57*Navires!$L$2</f>
        <v>0</v>
      </c>
      <c r="AG57" s="118">
        <f>N57*Navires!$M$2</f>
        <v>0</v>
      </c>
      <c r="AH57" s="118">
        <f>O57*Navires!$N$2</f>
        <v>0</v>
      </c>
      <c r="AI57" s="118">
        <f>P57*Navires!$O$2</f>
        <v>0</v>
      </c>
      <c r="AJ57" s="118">
        <f>Q57*Navires!$P$2</f>
        <v>0</v>
      </c>
      <c r="AK57" s="35">
        <f>(SUM(V57:AJ57))*Générale!$B$8</f>
        <v>2106</v>
      </c>
    </row>
    <row r="58" spans="1:37" s="117" customFormat="1" x14ac:dyDescent="0.25">
      <c r="A58" s="117">
        <v>11</v>
      </c>
      <c r="B58" s="118" t="s">
        <v>152</v>
      </c>
      <c r="C58" s="118"/>
      <c r="D58" s="118"/>
      <c r="E58" s="118"/>
      <c r="F58" s="118"/>
      <c r="G58" s="118"/>
      <c r="H58" s="118"/>
      <c r="I58" s="118">
        <v>1</v>
      </c>
      <c r="J58" s="118"/>
      <c r="K58" s="118"/>
      <c r="L58" s="118"/>
      <c r="M58" s="118"/>
      <c r="N58" s="118"/>
      <c r="O58" s="118"/>
      <c r="P58" s="118"/>
      <c r="Q58" s="32"/>
      <c r="R58" s="34">
        <f t="shared" si="12"/>
        <v>1</v>
      </c>
      <c r="S58" s="135"/>
      <c r="U58" s="118" t="s">
        <v>152</v>
      </c>
      <c r="V58" s="118">
        <f>C58*Navires!$B$2</f>
        <v>0</v>
      </c>
      <c r="W58" s="118">
        <f>D58*Navires!$C$2</f>
        <v>0</v>
      </c>
      <c r="X58" s="118">
        <f>E58*Navires!$D$2</f>
        <v>0</v>
      </c>
      <c r="Y58" s="118">
        <f>F58*Navires!$E$2</f>
        <v>0</v>
      </c>
      <c r="Z58" s="118">
        <f>G58*Navires!$F$2</f>
        <v>0</v>
      </c>
      <c r="AA58" s="118">
        <f>H58*Navires!$G$2</f>
        <v>0</v>
      </c>
      <c r="AB58" s="118">
        <f>I58*Navires!$H$2</f>
        <v>2000</v>
      </c>
      <c r="AC58" s="118">
        <f>J58*Navires!$I$2</f>
        <v>0</v>
      </c>
      <c r="AD58" s="118">
        <f>K58*Navires!$J$2</f>
        <v>0</v>
      </c>
      <c r="AE58" s="118">
        <f>L58*Navires!$K$2</f>
        <v>0</v>
      </c>
      <c r="AF58" s="118">
        <f>M58*Navires!$L$2</f>
        <v>0</v>
      </c>
      <c r="AG58" s="118">
        <f>N58*Navires!$M$2</f>
        <v>0</v>
      </c>
      <c r="AH58" s="118">
        <f>O58*Navires!$N$2</f>
        <v>0</v>
      </c>
      <c r="AI58" s="118">
        <f>P58*Navires!$O$2</f>
        <v>0</v>
      </c>
      <c r="AJ58" s="118">
        <f>Q58*Navires!$P$2</f>
        <v>0</v>
      </c>
      <c r="AK58" s="35">
        <f>(SUM(V58:AJ58))*Générale!$B$8</f>
        <v>2000</v>
      </c>
    </row>
    <row r="59" spans="1:37" s="117" customFormat="1" ht="15" customHeight="1" x14ac:dyDescent="0.25">
      <c r="A59" s="117">
        <v>12</v>
      </c>
      <c r="B59" s="118" t="s">
        <v>146</v>
      </c>
      <c r="C59" s="118"/>
      <c r="D59" s="118"/>
      <c r="E59" s="118">
        <v>1</v>
      </c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32"/>
      <c r="R59" s="34">
        <f>SUM(C59:Q59)</f>
        <v>1</v>
      </c>
      <c r="S59" s="135"/>
      <c r="U59" s="118" t="s">
        <v>146</v>
      </c>
      <c r="V59" s="118">
        <f>C59*Navires!$B$2</f>
        <v>0</v>
      </c>
      <c r="W59" s="118">
        <f>D59*Navires!$C$2</f>
        <v>0</v>
      </c>
      <c r="X59" s="118">
        <f>E59*Navires!$D$2</f>
        <v>2106</v>
      </c>
      <c r="Y59" s="118">
        <f>F59*Navires!$E$2</f>
        <v>0</v>
      </c>
      <c r="Z59" s="118">
        <f>G59*Navires!$F$2</f>
        <v>0</v>
      </c>
      <c r="AA59" s="118">
        <f>H59*Navires!$G$2</f>
        <v>0</v>
      </c>
      <c r="AB59" s="118">
        <f>I59*Navires!$H$2</f>
        <v>0</v>
      </c>
      <c r="AC59" s="118">
        <f>J59*Navires!$I$2</f>
        <v>0</v>
      </c>
      <c r="AD59" s="118">
        <f>K59*Navires!$J$2</f>
        <v>0</v>
      </c>
      <c r="AE59" s="118">
        <f>L59*Navires!$K$2</f>
        <v>0</v>
      </c>
      <c r="AF59" s="118">
        <f>M59*Navires!$L$2</f>
        <v>0</v>
      </c>
      <c r="AG59" s="118">
        <f>N59*Navires!$M$2</f>
        <v>0</v>
      </c>
      <c r="AH59" s="118">
        <f>O59*Navires!$N$2</f>
        <v>0</v>
      </c>
      <c r="AI59" s="118">
        <f>P59*Navires!$O$2</f>
        <v>0</v>
      </c>
      <c r="AJ59" s="118">
        <f>Q59*Navires!$P$2</f>
        <v>0</v>
      </c>
      <c r="AK59" s="35">
        <f>(SUM(V59:AJ59))*Générale!$B$8</f>
        <v>2106</v>
      </c>
    </row>
    <row r="60" spans="1:37" s="117" customFormat="1" ht="15" customHeight="1" x14ac:dyDescent="0.25">
      <c r="C60" s="215" t="s">
        <v>63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U60" s="217" t="s">
        <v>64</v>
      </c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</row>
    <row r="61" spans="1:37" s="117" customFormat="1" ht="26.25" customHeight="1" x14ac:dyDescent="0.25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</row>
    <row r="62" spans="1:37" s="117" customFormat="1" ht="45" x14ac:dyDescent="0.25">
      <c r="C62" s="24" t="s">
        <v>21</v>
      </c>
      <c r="D62" s="24" t="s">
        <v>22</v>
      </c>
      <c r="E62" s="23" t="s">
        <v>23</v>
      </c>
      <c r="F62" s="24" t="s">
        <v>24</v>
      </c>
      <c r="G62" s="24" t="s">
        <v>25</v>
      </c>
      <c r="H62" s="24" t="s">
        <v>26</v>
      </c>
      <c r="I62" s="25" t="s">
        <v>30</v>
      </c>
      <c r="J62" s="25" t="s">
        <v>33</v>
      </c>
      <c r="K62" s="25" t="s">
        <v>65</v>
      </c>
      <c r="L62" s="25" t="s">
        <v>31</v>
      </c>
      <c r="M62" s="25" t="s">
        <v>32</v>
      </c>
      <c r="N62" s="25" t="s">
        <v>29</v>
      </c>
      <c r="O62" s="25" t="s">
        <v>28</v>
      </c>
      <c r="P62" s="24" t="s">
        <v>27</v>
      </c>
      <c r="Q62" s="31" t="s">
        <v>34</v>
      </c>
      <c r="R62" s="33" t="s">
        <v>60</v>
      </c>
      <c r="U62" s="118"/>
      <c r="V62" s="23" t="s">
        <v>21</v>
      </c>
      <c r="W62" s="23" t="s">
        <v>22</v>
      </c>
      <c r="X62" s="23" t="s">
        <v>23</v>
      </c>
      <c r="Y62" s="23" t="s">
        <v>24</v>
      </c>
      <c r="Z62" s="23" t="s">
        <v>25</v>
      </c>
      <c r="AA62" s="23" t="s">
        <v>26</v>
      </c>
      <c r="AB62" s="23" t="s">
        <v>30</v>
      </c>
      <c r="AC62" s="23" t="s">
        <v>33</v>
      </c>
      <c r="AD62" s="23" t="s">
        <v>26</v>
      </c>
      <c r="AE62" s="23" t="s">
        <v>31</v>
      </c>
      <c r="AF62" s="23" t="s">
        <v>32</v>
      </c>
      <c r="AG62" s="23" t="s">
        <v>29</v>
      </c>
      <c r="AH62" s="23" t="s">
        <v>28</v>
      </c>
      <c r="AI62" s="23" t="s">
        <v>27</v>
      </c>
      <c r="AJ62" s="23" t="s">
        <v>34</v>
      </c>
      <c r="AK62" s="37" t="s">
        <v>60</v>
      </c>
    </row>
    <row r="63" spans="1:37" s="117" customFormat="1" x14ac:dyDescent="0.25">
      <c r="A63" s="117">
        <v>6</v>
      </c>
      <c r="B63" s="118" t="s">
        <v>147</v>
      </c>
      <c r="C63" s="118"/>
      <c r="D63" s="118"/>
      <c r="E63" s="117">
        <v>1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32"/>
      <c r="R63" s="34">
        <f t="shared" ref="R63:R68" si="13">SUM(C63:Q63)</f>
        <v>1</v>
      </c>
      <c r="U63" s="118" t="s">
        <v>147</v>
      </c>
      <c r="V63" s="118">
        <f>C63*Navires!$B$2</f>
        <v>0</v>
      </c>
      <c r="W63" s="118">
        <f>D63*Navires!$C$2</f>
        <v>0</v>
      </c>
      <c r="X63" s="118">
        <f>E63*Navires!$D$2</f>
        <v>2106</v>
      </c>
      <c r="Y63" s="118">
        <f>F63*Navires!$E$2</f>
        <v>0</v>
      </c>
      <c r="Z63" s="118">
        <f>G63*Navires!$F$2</f>
        <v>0</v>
      </c>
      <c r="AA63" s="118">
        <f>H63*Navires!$G$2</f>
        <v>0</v>
      </c>
      <c r="AB63" s="118">
        <f>I63*Navires!$H$2</f>
        <v>0</v>
      </c>
      <c r="AC63" s="118">
        <f>J63*Navires!$I$2</f>
        <v>0</v>
      </c>
      <c r="AD63" s="118">
        <f>K63*Navires!$J$2</f>
        <v>0</v>
      </c>
      <c r="AE63" s="118">
        <f>L63*Navires!$K$2</f>
        <v>0</v>
      </c>
      <c r="AF63" s="118">
        <f>M63*Navires!$L$2</f>
        <v>0</v>
      </c>
      <c r="AG63" s="118">
        <f>N63*Navires!$M$2</f>
        <v>0</v>
      </c>
      <c r="AH63" s="118">
        <f>O63*Navires!$N$2</f>
        <v>0</v>
      </c>
      <c r="AI63" s="118">
        <f>P63*Navires!$O$2</f>
        <v>0</v>
      </c>
      <c r="AJ63" s="118">
        <f>Q63*Navires!$P$2</f>
        <v>0</v>
      </c>
      <c r="AK63" s="35">
        <f>(SUM(V63:AJ63))*Générale!$B$8</f>
        <v>2106</v>
      </c>
    </row>
    <row r="64" spans="1:37" s="117" customFormat="1" x14ac:dyDescent="0.25">
      <c r="A64" s="117">
        <v>7</v>
      </c>
      <c r="B64" s="118" t="s">
        <v>148</v>
      </c>
      <c r="C64" s="118"/>
      <c r="D64" s="118"/>
      <c r="E64" s="118"/>
      <c r="F64" s="118"/>
      <c r="G64" s="118"/>
      <c r="H64" s="118"/>
      <c r="I64" s="118">
        <v>1</v>
      </c>
      <c r="J64" s="118"/>
      <c r="K64" s="118"/>
      <c r="L64" s="118"/>
      <c r="M64" s="118"/>
      <c r="N64" s="118"/>
      <c r="O64" s="118"/>
      <c r="P64" s="118"/>
      <c r="Q64" s="32"/>
      <c r="R64" s="34">
        <f t="shared" si="13"/>
        <v>1</v>
      </c>
      <c r="U64" s="118" t="s">
        <v>148</v>
      </c>
      <c r="V64" s="118">
        <f>C64*Navires!$B$2</f>
        <v>0</v>
      </c>
      <c r="W64" s="118">
        <f>D64*Navires!$C$2</f>
        <v>0</v>
      </c>
      <c r="X64" s="118">
        <f>E64*Navires!$D$2</f>
        <v>0</v>
      </c>
      <c r="Y64" s="118">
        <f>F64*Navires!$E$2</f>
        <v>0</v>
      </c>
      <c r="Z64" s="118">
        <f>G64*Navires!$F$2</f>
        <v>0</v>
      </c>
      <c r="AA64" s="118">
        <f>H64*Navires!$G$2</f>
        <v>0</v>
      </c>
      <c r="AB64" s="118">
        <f>I64*Navires!$H$2</f>
        <v>2000</v>
      </c>
      <c r="AC64" s="118">
        <f>J64*Navires!$I$2</f>
        <v>0</v>
      </c>
      <c r="AD64" s="118">
        <f>K64*Navires!$J$2</f>
        <v>0</v>
      </c>
      <c r="AE64" s="118">
        <f>L64*Navires!$K$2</f>
        <v>0</v>
      </c>
      <c r="AF64" s="118">
        <f>M64*Navires!$L$2</f>
        <v>0</v>
      </c>
      <c r="AG64" s="118">
        <f>N64*Navires!$M$2</f>
        <v>0</v>
      </c>
      <c r="AH64" s="118">
        <f>O64*Navires!$N$2</f>
        <v>0</v>
      </c>
      <c r="AI64" s="118">
        <f>P64*Navires!$O$2</f>
        <v>0</v>
      </c>
      <c r="AJ64" s="118">
        <f>Q64*Navires!$P$2</f>
        <v>0</v>
      </c>
      <c r="AK64" s="35">
        <f>(SUM(V64:AJ64))*Générale!$B$8</f>
        <v>2000</v>
      </c>
    </row>
    <row r="65" spans="1:37" s="117" customFormat="1" x14ac:dyDescent="0.25">
      <c r="A65" s="117">
        <v>8</v>
      </c>
      <c r="B65" s="118" t="s">
        <v>149</v>
      </c>
      <c r="C65" s="118"/>
      <c r="D65" s="118"/>
      <c r="E65" s="117">
        <v>1</v>
      </c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32"/>
      <c r="R65" s="34">
        <f t="shared" si="13"/>
        <v>1</v>
      </c>
      <c r="U65" s="118" t="s">
        <v>149</v>
      </c>
      <c r="V65" s="118">
        <f>C65*Navires!$B$2</f>
        <v>0</v>
      </c>
      <c r="W65" s="118">
        <f>D65*Navires!$C$2</f>
        <v>0</v>
      </c>
      <c r="X65" s="118">
        <f>E65*Navires!$D$2</f>
        <v>2106</v>
      </c>
      <c r="Y65" s="118">
        <f>F65*Navires!$E$2</f>
        <v>0</v>
      </c>
      <c r="Z65" s="118">
        <f>G65*Navires!$F$2</f>
        <v>0</v>
      </c>
      <c r="AA65" s="118">
        <f>H65*Navires!$G$2</f>
        <v>0</v>
      </c>
      <c r="AB65" s="118">
        <f>I65*Navires!$H$2</f>
        <v>0</v>
      </c>
      <c r="AC65" s="118">
        <f>J65*Navires!$I$2</f>
        <v>0</v>
      </c>
      <c r="AD65" s="118">
        <f>K65*Navires!$J$2</f>
        <v>0</v>
      </c>
      <c r="AE65" s="118">
        <f>L65*Navires!$K$2</f>
        <v>0</v>
      </c>
      <c r="AF65" s="118">
        <f>M65*Navires!$L$2</f>
        <v>0</v>
      </c>
      <c r="AG65" s="118">
        <f>N65*Navires!$M$2</f>
        <v>0</v>
      </c>
      <c r="AH65" s="118">
        <f>O65*Navires!$N$2</f>
        <v>0</v>
      </c>
      <c r="AI65" s="118">
        <f>P65*Navires!$O$2</f>
        <v>0</v>
      </c>
      <c r="AJ65" s="118">
        <f>Q65*Navires!$P$2</f>
        <v>0</v>
      </c>
      <c r="AK65" s="35">
        <f>(SUM(V65:AJ65))*Générale!$B$8</f>
        <v>2106</v>
      </c>
    </row>
    <row r="66" spans="1:37" s="117" customFormat="1" x14ac:dyDescent="0.25">
      <c r="A66" s="117">
        <v>9</v>
      </c>
      <c r="B66" s="118" t="s">
        <v>150</v>
      </c>
      <c r="C66" s="118"/>
      <c r="D66" s="118"/>
      <c r="E66" s="118"/>
      <c r="F66" s="118"/>
      <c r="G66" s="118"/>
      <c r="H66" s="118"/>
      <c r="I66" s="118">
        <v>1</v>
      </c>
      <c r="J66" s="118"/>
      <c r="K66" s="118"/>
      <c r="L66" s="118"/>
      <c r="M66" s="118"/>
      <c r="N66" s="118"/>
      <c r="O66" s="118"/>
      <c r="P66" s="118"/>
      <c r="Q66" s="32"/>
      <c r="R66" s="34">
        <f t="shared" si="13"/>
        <v>1</v>
      </c>
      <c r="U66" s="118" t="s">
        <v>150</v>
      </c>
      <c r="V66" s="118">
        <f>C66*Navires!$B$2</f>
        <v>0</v>
      </c>
      <c r="W66" s="118">
        <f>D66*Navires!$C$2</f>
        <v>0</v>
      </c>
      <c r="X66" s="118">
        <f>E66*Navires!$D$2</f>
        <v>0</v>
      </c>
      <c r="Y66" s="118">
        <f>F66*Navires!$E$2</f>
        <v>0</v>
      </c>
      <c r="Z66" s="118">
        <f>G66*Navires!$F$2</f>
        <v>0</v>
      </c>
      <c r="AA66" s="118">
        <f>H66*Navires!$G$2</f>
        <v>0</v>
      </c>
      <c r="AB66" s="118">
        <f>I66*Navires!$H$2</f>
        <v>2000</v>
      </c>
      <c r="AC66" s="118">
        <f>J66*Navires!$I$2</f>
        <v>0</v>
      </c>
      <c r="AD66" s="118">
        <f>K66*Navires!$J$2</f>
        <v>0</v>
      </c>
      <c r="AE66" s="118">
        <f>L66*Navires!$K$2</f>
        <v>0</v>
      </c>
      <c r="AF66" s="118">
        <f>M66*Navires!$L$2</f>
        <v>0</v>
      </c>
      <c r="AG66" s="118">
        <f>N66*Navires!$M$2</f>
        <v>0</v>
      </c>
      <c r="AH66" s="118">
        <f>O66*Navires!$N$2</f>
        <v>0</v>
      </c>
      <c r="AI66" s="118">
        <f>P66*Navires!$O$2</f>
        <v>0</v>
      </c>
      <c r="AJ66" s="118">
        <f>Q66*Navires!$P$2</f>
        <v>0</v>
      </c>
      <c r="AK66" s="35">
        <f>(SUM(V66:AJ66))*Générale!$B$8</f>
        <v>2000</v>
      </c>
    </row>
    <row r="67" spans="1:37" s="117" customFormat="1" x14ac:dyDescent="0.25">
      <c r="A67" s="117">
        <v>10</v>
      </c>
      <c r="B67" s="118" t="s">
        <v>151</v>
      </c>
      <c r="C67" s="118"/>
      <c r="D67" s="118"/>
      <c r="E67" s="117">
        <v>1</v>
      </c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32"/>
      <c r="R67" s="34">
        <f t="shared" si="13"/>
        <v>1</v>
      </c>
      <c r="U67" s="118" t="s">
        <v>151</v>
      </c>
      <c r="V67" s="118">
        <f>C67*Navires!$B$2</f>
        <v>0</v>
      </c>
      <c r="W67" s="118">
        <f>D67*Navires!$C$2</f>
        <v>0</v>
      </c>
      <c r="X67" s="118">
        <f>E67*Navires!$D$2</f>
        <v>2106</v>
      </c>
      <c r="Y67" s="118">
        <f>F67*Navires!$E$2</f>
        <v>0</v>
      </c>
      <c r="Z67" s="118">
        <f>G67*Navires!$F$2</f>
        <v>0</v>
      </c>
      <c r="AA67" s="118">
        <f>H67*Navires!$G$2</f>
        <v>0</v>
      </c>
      <c r="AB67" s="118">
        <f>I67*Navires!$H$2</f>
        <v>0</v>
      </c>
      <c r="AC67" s="118">
        <f>J67*Navires!$I$2</f>
        <v>0</v>
      </c>
      <c r="AD67" s="118">
        <f>K67*Navires!$J$2</f>
        <v>0</v>
      </c>
      <c r="AE67" s="118">
        <f>L67*Navires!$K$2</f>
        <v>0</v>
      </c>
      <c r="AF67" s="118">
        <f>M67*Navires!$L$2</f>
        <v>0</v>
      </c>
      <c r="AG67" s="118">
        <f>N67*Navires!$M$2</f>
        <v>0</v>
      </c>
      <c r="AH67" s="118">
        <f>O67*Navires!$N$2</f>
        <v>0</v>
      </c>
      <c r="AI67" s="118">
        <f>P67*Navires!$O$2</f>
        <v>0</v>
      </c>
      <c r="AJ67" s="118">
        <f>Q67*Navires!$P$2</f>
        <v>0</v>
      </c>
      <c r="AK67" s="35">
        <f>(SUM(V67:AJ67))*Générale!$B$8</f>
        <v>2106</v>
      </c>
    </row>
    <row r="68" spans="1:37" s="117" customFormat="1" x14ac:dyDescent="0.25">
      <c r="A68" s="117">
        <v>11</v>
      </c>
      <c r="B68" s="118" t="s">
        <v>152</v>
      </c>
      <c r="C68" s="118"/>
      <c r="D68" s="118"/>
      <c r="E68" s="118"/>
      <c r="F68" s="118"/>
      <c r="G68" s="118"/>
      <c r="H68" s="118"/>
      <c r="I68" s="118">
        <v>1</v>
      </c>
      <c r="J68" s="118"/>
      <c r="K68" s="118"/>
      <c r="L68" s="118"/>
      <c r="M68" s="118"/>
      <c r="N68" s="118"/>
      <c r="O68" s="118"/>
      <c r="P68" s="118"/>
      <c r="Q68" s="32"/>
      <c r="R68" s="34">
        <f t="shared" si="13"/>
        <v>1</v>
      </c>
      <c r="U68" s="118" t="s">
        <v>152</v>
      </c>
      <c r="V68" s="118">
        <f>C68*Navires!$B$2</f>
        <v>0</v>
      </c>
      <c r="W68" s="118">
        <f>D68*Navires!$C$2</f>
        <v>0</v>
      </c>
      <c r="X68" s="118">
        <f>E68*Navires!$D$2</f>
        <v>0</v>
      </c>
      <c r="Y68" s="118">
        <f>F68*Navires!$E$2</f>
        <v>0</v>
      </c>
      <c r="Z68" s="118">
        <f>G68*Navires!$F$2</f>
        <v>0</v>
      </c>
      <c r="AA68" s="118">
        <f>H68*Navires!$G$2</f>
        <v>0</v>
      </c>
      <c r="AB68" s="118">
        <f>I68*Navires!$H$2</f>
        <v>2000</v>
      </c>
      <c r="AC68" s="118">
        <f>J68*Navires!$I$2</f>
        <v>0</v>
      </c>
      <c r="AD68" s="118">
        <f>K68*Navires!$J$2</f>
        <v>0</v>
      </c>
      <c r="AE68" s="118">
        <f>L68*Navires!$K$2</f>
        <v>0</v>
      </c>
      <c r="AF68" s="118">
        <f>M68*Navires!$L$2</f>
        <v>0</v>
      </c>
      <c r="AG68" s="118">
        <f>N68*Navires!$M$2</f>
        <v>0</v>
      </c>
      <c r="AH68" s="118">
        <f>O68*Navires!$N$2</f>
        <v>0</v>
      </c>
      <c r="AI68" s="118">
        <f>P68*Navires!$O$2</f>
        <v>0</v>
      </c>
      <c r="AJ68" s="118">
        <f>Q68*Navires!$P$2</f>
        <v>0</v>
      </c>
      <c r="AK68" s="35">
        <f>(SUM(V68:AJ68))*Générale!$B$8</f>
        <v>2000</v>
      </c>
    </row>
    <row r="69" spans="1:37" s="117" customFormat="1" x14ac:dyDescent="0.25">
      <c r="A69" s="117">
        <v>12</v>
      </c>
      <c r="B69" s="118" t="s">
        <v>146</v>
      </c>
      <c r="C69" s="118"/>
      <c r="D69" s="118"/>
      <c r="E69" s="118">
        <v>1</v>
      </c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32"/>
      <c r="R69" s="34">
        <f>SUM(C69:Q69)</f>
        <v>1</v>
      </c>
      <c r="U69" s="118" t="s">
        <v>146</v>
      </c>
      <c r="V69" s="118">
        <f>C69*Navires!$B$2</f>
        <v>0</v>
      </c>
      <c r="W69" s="118">
        <f>D69*Navires!$C$2</f>
        <v>0</v>
      </c>
      <c r="X69" s="118">
        <f>E69*Navires!$D$2</f>
        <v>2106</v>
      </c>
      <c r="Y69" s="118">
        <f>F69*Navires!$E$2</f>
        <v>0</v>
      </c>
      <c r="Z69" s="118">
        <f>G69*Navires!$F$2</f>
        <v>0</v>
      </c>
      <c r="AA69" s="118">
        <f>H69*Navires!$G$2</f>
        <v>0</v>
      </c>
      <c r="AB69" s="118">
        <f>I69*Navires!$H$2</f>
        <v>0</v>
      </c>
      <c r="AC69" s="118">
        <f>J69*Navires!$I$2</f>
        <v>0</v>
      </c>
      <c r="AD69" s="118">
        <f>K69*Navires!$J$2</f>
        <v>0</v>
      </c>
      <c r="AE69" s="118">
        <f>L69*Navires!$K$2</f>
        <v>0</v>
      </c>
      <c r="AF69" s="118">
        <f>M69*Navires!$L$2</f>
        <v>0</v>
      </c>
      <c r="AG69" s="118">
        <f>N69*Navires!$M$2</f>
        <v>0</v>
      </c>
      <c r="AH69" s="118">
        <f>O69*Navires!$N$2</f>
        <v>0</v>
      </c>
      <c r="AI69" s="118">
        <f>P69*Navires!$O$2</f>
        <v>0</v>
      </c>
      <c r="AJ69" s="118">
        <f>Q69*Navires!$P$2</f>
        <v>0</v>
      </c>
      <c r="AK69" s="35">
        <f>(SUM(V69:AJ69))*Générale!$B$8</f>
        <v>2106</v>
      </c>
    </row>
    <row r="71" spans="1:37" s="117" customFormat="1" x14ac:dyDescent="0.25">
      <c r="B71" s="117" t="s">
        <v>154</v>
      </c>
    </row>
    <row r="72" spans="1:37" s="117" customFormat="1" ht="23.25" customHeight="1" x14ac:dyDescent="0.25">
      <c r="C72" s="215" t="s">
        <v>61</v>
      </c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V72" s="215" t="s">
        <v>62</v>
      </c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7"/>
    </row>
    <row r="73" spans="1:37" s="117" customFormat="1" ht="23.25" customHeight="1" x14ac:dyDescent="0.25"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8"/>
    </row>
    <row r="74" spans="1:37" s="117" customFormat="1" ht="45" x14ac:dyDescent="0.25">
      <c r="C74" s="24" t="s">
        <v>21</v>
      </c>
      <c r="D74" s="24" t="s">
        <v>22</v>
      </c>
      <c r="E74" s="23" t="s">
        <v>23</v>
      </c>
      <c r="F74" s="24" t="s">
        <v>24</v>
      </c>
      <c r="G74" s="24" t="s">
        <v>25</v>
      </c>
      <c r="H74" s="24" t="s">
        <v>26</v>
      </c>
      <c r="I74" s="25" t="s">
        <v>30</v>
      </c>
      <c r="J74" s="25" t="s">
        <v>33</v>
      </c>
      <c r="K74" s="25" t="s">
        <v>65</v>
      </c>
      <c r="L74" s="25" t="s">
        <v>31</v>
      </c>
      <c r="M74" s="25" t="s">
        <v>32</v>
      </c>
      <c r="N74" s="25" t="s">
        <v>29</v>
      </c>
      <c r="O74" s="25" t="s">
        <v>28</v>
      </c>
      <c r="P74" s="24" t="s">
        <v>27</v>
      </c>
      <c r="Q74" s="31" t="s">
        <v>34</v>
      </c>
      <c r="R74" s="33" t="s">
        <v>60</v>
      </c>
      <c r="S74" s="87"/>
      <c r="V74" s="24" t="s">
        <v>21</v>
      </c>
      <c r="W74" s="24" t="s">
        <v>22</v>
      </c>
      <c r="X74" s="24" t="s">
        <v>23</v>
      </c>
      <c r="Y74" s="24" t="s">
        <v>24</v>
      </c>
      <c r="Z74" s="24" t="s">
        <v>25</v>
      </c>
      <c r="AA74" s="24" t="s">
        <v>26</v>
      </c>
      <c r="AB74" s="25" t="s">
        <v>30</v>
      </c>
      <c r="AC74" s="25" t="s">
        <v>33</v>
      </c>
      <c r="AD74" s="25" t="s">
        <v>26</v>
      </c>
      <c r="AE74" s="25" t="s">
        <v>31</v>
      </c>
      <c r="AF74" s="25" t="s">
        <v>32</v>
      </c>
      <c r="AG74" s="25" t="s">
        <v>29</v>
      </c>
      <c r="AH74" s="25" t="s">
        <v>28</v>
      </c>
      <c r="AI74" s="24" t="s">
        <v>27</v>
      </c>
      <c r="AJ74" s="25" t="s">
        <v>34</v>
      </c>
      <c r="AK74" s="33" t="s">
        <v>60</v>
      </c>
    </row>
    <row r="75" spans="1:37" s="117" customFormat="1" x14ac:dyDescent="0.25">
      <c r="A75" s="117">
        <v>24</v>
      </c>
      <c r="B75" s="118" t="s">
        <v>147</v>
      </c>
      <c r="C75" s="118">
        <v>1</v>
      </c>
      <c r="D75" s="118"/>
      <c r="F75" s="118">
        <v>1</v>
      </c>
      <c r="G75" s="118"/>
      <c r="H75" s="118">
        <v>1</v>
      </c>
      <c r="I75" s="118"/>
      <c r="J75" s="118"/>
      <c r="K75" s="118"/>
      <c r="L75" s="118"/>
      <c r="M75" s="118"/>
      <c r="N75" s="118"/>
      <c r="O75" s="118"/>
      <c r="P75" s="118"/>
      <c r="Q75" s="32"/>
      <c r="R75" s="34">
        <f t="shared" ref="R75:R76" si="14">SUM(C75:Q75)</f>
        <v>3</v>
      </c>
      <c r="S75" s="135"/>
      <c r="U75" s="118" t="s">
        <v>147</v>
      </c>
      <c r="V75" s="118">
        <f>C75*Navires!$B$2</f>
        <v>1955</v>
      </c>
      <c r="W75" s="118">
        <f>D75*Navires!$C$2</f>
        <v>0</v>
      </c>
      <c r="X75" s="118">
        <f>E75*Navires!$D$2</f>
        <v>0</v>
      </c>
      <c r="Y75" s="118">
        <f>F75*Navires!$E$2</f>
        <v>1880</v>
      </c>
      <c r="Z75" s="118">
        <f>G75*Navires!$F$2</f>
        <v>0</v>
      </c>
      <c r="AA75" s="118">
        <f>H75*Navires!$G$2</f>
        <v>2000</v>
      </c>
      <c r="AB75" s="118">
        <f>I75*Navires!$H$2</f>
        <v>0</v>
      </c>
      <c r="AC75" s="118">
        <f>J75*Navires!$I$2</f>
        <v>0</v>
      </c>
      <c r="AD75" s="118">
        <f>K75*Navires!$J$2</f>
        <v>0</v>
      </c>
      <c r="AE75" s="118">
        <f>L75*Navires!$K$2</f>
        <v>0</v>
      </c>
      <c r="AF75" s="118">
        <f>M75*Navires!$L$2</f>
        <v>0</v>
      </c>
      <c r="AG75" s="118">
        <f>N75*Navires!$M$2</f>
        <v>0</v>
      </c>
      <c r="AH75" s="118">
        <f>O75*Navires!$N$2</f>
        <v>0</v>
      </c>
      <c r="AI75" s="118">
        <f>P75*Navires!$O$2</f>
        <v>0</v>
      </c>
      <c r="AJ75" s="118">
        <f>Q75*Navires!$P$2</f>
        <v>0</v>
      </c>
      <c r="AK75" s="35">
        <f>(SUM(V75:AJ75))*Générale!$B$13</f>
        <v>5835</v>
      </c>
    </row>
    <row r="76" spans="1:37" s="117" customFormat="1" x14ac:dyDescent="0.25">
      <c r="A76" s="117">
        <v>25</v>
      </c>
      <c r="B76" s="118" t="s">
        <v>148</v>
      </c>
      <c r="C76" s="118"/>
      <c r="D76" s="118"/>
      <c r="E76" s="118"/>
      <c r="F76" s="118">
        <v>1</v>
      </c>
      <c r="G76" s="118"/>
      <c r="H76" s="118">
        <v>1</v>
      </c>
      <c r="I76" s="118"/>
      <c r="J76" s="118"/>
      <c r="K76" s="118"/>
      <c r="L76" s="118"/>
      <c r="M76" s="118"/>
      <c r="N76" s="118"/>
      <c r="O76" s="118"/>
      <c r="P76" s="118"/>
      <c r="Q76" s="32"/>
      <c r="R76" s="34">
        <f t="shared" si="14"/>
        <v>2</v>
      </c>
      <c r="S76" s="135"/>
      <c r="U76" s="118" t="s">
        <v>148</v>
      </c>
      <c r="V76" s="118">
        <f>C76*Navires!$B$2</f>
        <v>0</v>
      </c>
      <c r="W76" s="118">
        <f>D76*Navires!$C$2</f>
        <v>0</v>
      </c>
      <c r="X76" s="118">
        <f>E76*Navires!$D$2</f>
        <v>0</v>
      </c>
      <c r="Y76" s="118">
        <f>F76*Navires!$E$2</f>
        <v>1880</v>
      </c>
      <c r="Z76" s="118">
        <f>G76*Navires!$F$2</f>
        <v>0</v>
      </c>
      <c r="AA76" s="118">
        <f>H76*Navires!$G$2</f>
        <v>2000</v>
      </c>
      <c r="AB76" s="118">
        <f>I76*Navires!$H$2</f>
        <v>0</v>
      </c>
      <c r="AC76" s="118">
        <f>J76*Navires!$I$2</f>
        <v>0</v>
      </c>
      <c r="AD76" s="118">
        <f>K76*Navires!$J$2</f>
        <v>0</v>
      </c>
      <c r="AE76" s="118">
        <f>L76*Navires!$K$2</f>
        <v>0</v>
      </c>
      <c r="AF76" s="118">
        <f>M76*Navires!$L$2</f>
        <v>0</v>
      </c>
      <c r="AG76" s="118">
        <f>N76*Navires!$M$2</f>
        <v>0</v>
      </c>
      <c r="AH76" s="118">
        <f>O76*Navires!$N$2</f>
        <v>0</v>
      </c>
      <c r="AI76" s="118">
        <f>P76*Navires!$O$2</f>
        <v>0</v>
      </c>
      <c r="AJ76" s="118">
        <f>Q76*Navires!$P$2</f>
        <v>0</v>
      </c>
      <c r="AK76" s="35">
        <f>(SUM(V76:AJ76))*Générale!$B$13</f>
        <v>3880</v>
      </c>
    </row>
    <row r="77" spans="1:37" s="117" customFormat="1" x14ac:dyDescent="0.25">
      <c r="A77" s="117">
        <v>26</v>
      </c>
      <c r="B77" s="118" t="s">
        <v>149</v>
      </c>
      <c r="C77" s="118"/>
      <c r="D77" s="118"/>
      <c r="E77" s="118"/>
      <c r="F77" s="118"/>
      <c r="G77" s="118"/>
      <c r="H77" s="118">
        <v>1</v>
      </c>
      <c r="I77" s="118">
        <v>1</v>
      </c>
      <c r="J77" s="118"/>
      <c r="K77" s="118"/>
      <c r="L77" s="118"/>
      <c r="M77" s="118"/>
      <c r="N77" s="118"/>
      <c r="O77" s="118"/>
      <c r="P77" s="118"/>
      <c r="Q77" s="32"/>
      <c r="R77" s="34">
        <f t="shared" ref="R77:R80" si="15">SUM(C77:Q77)</f>
        <v>2</v>
      </c>
      <c r="S77" s="135"/>
      <c r="U77" s="118" t="s">
        <v>149</v>
      </c>
      <c r="V77" s="118">
        <f>C77*Navires!$B$2</f>
        <v>0</v>
      </c>
      <c r="W77" s="118">
        <f>D77*Navires!$C$2</f>
        <v>0</v>
      </c>
      <c r="X77" s="118">
        <f>E77*Navires!$D$2</f>
        <v>0</v>
      </c>
      <c r="Y77" s="118">
        <f>F77*Navires!$E$2</f>
        <v>0</v>
      </c>
      <c r="Z77" s="118">
        <f>G77*Navires!$F$2</f>
        <v>0</v>
      </c>
      <c r="AA77" s="118">
        <f>H77*Navires!$G$2</f>
        <v>2000</v>
      </c>
      <c r="AB77" s="118">
        <f>I77*Navires!$H$2</f>
        <v>2000</v>
      </c>
      <c r="AC77" s="118">
        <f>J77*Navires!$I$2</f>
        <v>0</v>
      </c>
      <c r="AD77" s="118">
        <f>K77*Navires!$J$2</f>
        <v>0</v>
      </c>
      <c r="AE77" s="118">
        <f>L77*Navires!$K$2</f>
        <v>0</v>
      </c>
      <c r="AF77" s="118">
        <f>M77*Navires!$L$2</f>
        <v>0</v>
      </c>
      <c r="AG77" s="118">
        <f>N77*Navires!$M$2</f>
        <v>0</v>
      </c>
      <c r="AH77" s="118">
        <f>O77*Navires!$N$2</f>
        <v>0</v>
      </c>
      <c r="AI77" s="118">
        <f>P77*Navires!$O$2</f>
        <v>0</v>
      </c>
      <c r="AJ77" s="118">
        <f>Q77*Navires!$P$2</f>
        <v>0</v>
      </c>
      <c r="AK77" s="35">
        <f>(SUM(V77:AJ77))*Générale!$B$13</f>
        <v>4000</v>
      </c>
    </row>
    <row r="78" spans="1:37" s="117" customFormat="1" x14ac:dyDescent="0.25">
      <c r="A78" s="117">
        <v>27</v>
      </c>
      <c r="B78" s="118" t="s">
        <v>150</v>
      </c>
      <c r="C78" s="118">
        <v>2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32"/>
      <c r="R78" s="34">
        <f t="shared" si="15"/>
        <v>2</v>
      </c>
      <c r="S78" s="135"/>
      <c r="U78" s="118" t="s">
        <v>150</v>
      </c>
      <c r="V78" s="118">
        <f>C78*Navires!$B$2</f>
        <v>3910</v>
      </c>
      <c r="W78" s="118">
        <f>D78*Navires!$C$2</f>
        <v>0</v>
      </c>
      <c r="X78" s="118">
        <f>E78*Navires!$D$2</f>
        <v>0</v>
      </c>
      <c r="Y78" s="118">
        <f>F78*Navires!$E$2</f>
        <v>0</v>
      </c>
      <c r="Z78" s="118">
        <f>G78*Navires!$F$2</f>
        <v>0</v>
      </c>
      <c r="AA78" s="118">
        <f>H78*Navires!$G$2</f>
        <v>0</v>
      </c>
      <c r="AB78" s="118">
        <f>I78*Navires!$H$2</f>
        <v>0</v>
      </c>
      <c r="AC78" s="118">
        <f>J78*Navires!$I$2</f>
        <v>0</v>
      </c>
      <c r="AD78" s="118">
        <f>K78*Navires!$J$2</f>
        <v>0</v>
      </c>
      <c r="AE78" s="118">
        <f>L78*Navires!$K$2</f>
        <v>0</v>
      </c>
      <c r="AF78" s="118">
        <f>M78*Navires!$L$2</f>
        <v>0</v>
      </c>
      <c r="AG78" s="118">
        <f>N78*Navires!$M$2</f>
        <v>0</v>
      </c>
      <c r="AH78" s="118">
        <f>O78*Navires!$N$2</f>
        <v>0</v>
      </c>
      <c r="AI78" s="118">
        <f>P78*Navires!$O$2</f>
        <v>0</v>
      </c>
      <c r="AJ78" s="118">
        <f>Q78*Navires!$P$2</f>
        <v>0</v>
      </c>
      <c r="AK78" s="35">
        <f>(SUM(V78:AJ78))*Générale!$B$13</f>
        <v>3910</v>
      </c>
    </row>
    <row r="79" spans="1:37" s="117" customFormat="1" x14ac:dyDescent="0.25">
      <c r="A79" s="117">
        <v>28</v>
      </c>
      <c r="B79" s="118" t="s">
        <v>151</v>
      </c>
      <c r="C79" s="118"/>
      <c r="D79" s="118">
        <v>1</v>
      </c>
      <c r="E79" s="118"/>
      <c r="F79" s="118"/>
      <c r="G79" s="118">
        <v>1</v>
      </c>
      <c r="H79" s="118"/>
      <c r="I79" s="118"/>
      <c r="J79" s="118"/>
      <c r="K79" s="118"/>
      <c r="L79" s="118"/>
      <c r="M79" s="118"/>
      <c r="N79" s="118"/>
      <c r="O79" s="118"/>
      <c r="P79" s="118"/>
      <c r="Q79" s="32"/>
      <c r="R79" s="34">
        <f t="shared" si="15"/>
        <v>2</v>
      </c>
      <c r="S79" s="135"/>
      <c r="U79" s="118" t="s">
        <v>151</v>
      </c>
      <c r="V79" s="118">
        <f>C79*Navires!$B$2</f>
        <v>0</v>
      </c>
      <c r="W79" s="118">
        <f>D79*Navires!$C$2</f>
        <v>1955</v>
      </c>
      <c r="X79" s="118">
        <f>E79*Navires!$D$2</f>
        <v>0</v>
      </c>
      <c r="Y79" s="118">
        <f>F79*Navires!$E$2</f>
        <v>0</v>
      </c>
      <c r="Z79" s="118">
        <f>G79*Navires!$F$2</f>
        <v>1896</v>
      </c>
      <c r="AA79" s="118">
        <f>H79*Navires!$G$2</f>
        <v>0</v>
      </c>
      <c r="AB79" s="118">
        <f>I79*Navires!$H$2</f>
        <v>0</v>
      </c>
      <c r="AC79" s="118">
        <f>J79*Navires!$I$2</f>
        <v>0</v>
      </c>
      <c r="AD79" s="118">
        <f>K79*Navires!$J$2</f>
        <v>0</v>
      </c>
      <c r="AE79" s="118">
        <f>L79*Navires!$K$2</f>
        <v>0</v>
      </c>
      <c r="AF79" s="118">
        <f>M79*Navires!$L$2</f>
        <v>0</v>
      </c>
      <c r="AG79" s="118">
        <f>N79*Navires!$M$2</f>
        <v>0</v>
      </c>
      <c r="AH79" s="118">
        <f>O79*Navires!$N$2</f>
        <v>0</v>
      </c>
      <c r="AI79" s="118">
        <f>P79*Navires!$O$2</f>
        <v>0</v>
      </c>
      <c r="AJ79" s="118">
        <f>Q79*Navires!$P$2</f>
        <v>0</v>
      </c>
      <c r="AK79" s="35">
        <f>(SUM(V79:AJ79))*Générale!$B$13</f>
        <v>3851</v>
      </c>
    </row>
    <row r="80" spans="1:37" s="117" customFormat="1" x14ac:dyDescent="0.25">
      <c r="A80" s="117">
        <v>29</v>
      </c>
      <c r="B80" s="118" t="s">
        <v>152</v>
      </c>
      <c r="C80" s="118"/>
      <c r="D80" s="118"/>
      <c r="E80" s="118"/>
      <c r="F80" s="118">
        <v>2</v>
      </c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32"/>
      <c r="R80" s="34">
        <f t="shared" si="15"/>
        <v>2</v>
      </c>
      <c r="S80" s="135"/>
      <c r="U80" s="118" t="s">
        <v>152</v>
      </c>
      <c r="V80" s="118">
        <f>C80*Navires!$B$2</f>
        <v>0</v>
      </c>
      <c r="W80" s="118">
        <f>D80*Navires!$C$2</f>
        <v>0</v>
      </c>
      <c r="X80" s="118">
        <f>E80*Navires!$D$2</f>
        <v>0</v>
      </c>
      <c r="Y80" s="118">
        <f>F80*Navires!$E$2</f>
        <v>3760</v>
      </c>
      <c r="Z80" s="118">
        <f>G80*Navires!$F$2</f>
        <v>0</v>
      </c>
      <c r="AA80" s="118">
        <f>H80*Navires!$G$2</f>
        <v>0</v>
      </c>
      <c r="AB80" s="118">
        <f>I80*Navires!$H$2</f>
        <v>0</v>
      </c>
      <c r="AC80" s="118">
        <f>J80*Navires!$I$2</f>
        <v>0</v>
      </c>
      <c r="AD80" s="118">
        <f>K80*Navires!$J$2</f>
        <v>0</v>
      </c>
      <c r="AE80" s="118">
        <f>L80*Navires!$K$2</f>
        <v>0</v>
      </c>
      <c r="AF80" s="118">
        <f>M80*Navires!$L$2</f>
        <v>0</v>
      </c>
      <c r="AG80" s="118">
        <f>N80*Navires!$M$2</f>
        <v>0</v>
      </c>
      <c r="AH80" s="118">
        <f>O80*Navires!$N$2</f>
        <v>0</v>
      </c>
      <c r="AI80" s="118">
        <f>P80*Navires!$O$2</f>
        <v>0</v>
      </c>
      <c r="AJ80" s="118">
        <f>Q80*Navires!$P$2</f>
        <v>0</v>
      </c>
      <c r="AK80" s="35">
        <f>(SUM(V80:AJ80))*Générale!$B$13</f>
        <v>3760</v>
      </c>
    </row>
    <row r="81" spans="1:37" s="117" customFormat="1" ht="15" customHeight="1" x14ac:dyDescent="0.25">
      <c r="A81" s="117">
        <v>30</v>
      </c>
      <c r="B81" s="118" t="s">
        <v>146</v>
      </c>
      <c r="C81" s="118"/>
      <c r="D81" s="118">
        <v>2</v>
      </c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32"/>
      <c r="R81" s="34">
        <f>SUM(C81:Q81)</f>
        <v>2</v>
      </c>
      <c r="S81" s="135"/>
      <c r="U81" s="118" t="s">
        <v>146</v>
      </c>
      <c r="V81" s="118">
        <f>C81*Navires!$B$2</f>
        <v>0</v>
      </c>
      <c r="W81" s="118">
        <f>D81*Navires!$C$2</f>
        <v>3910</v>
      </c>
      <c r="X81" s="118">
        <f>E81*Navires!$D$2</f>
        <v>0</v>
      </c>
      <c r="Y81" s="118">
        <f>F81*Navires!$E$2</f>
        <v>0</v>
      </c>
      <c r="Z81" s="118">
        <f>G81*Navires!$F$2</f>
        <v>0</v>
      </c>
      <c r="AA81" s="118">
        <f>H81*Navires!$G$2</f>
        <v>0</v>
      </c>
      <c r="AB81" s="118">
        <f>I81*Navires!$H$2</f>
        <v>0</v>
      </c>
      <c r="AC81" s="118">
        <f>J81*Navires!$I$2</f>
        <v>0</v>
      </c>
      <c r="AD81" s="118">
        <f>K81*Navires!$J$2</f>
        <v>0</v>
      </c>
      <c r="AE81" s="118">
        <f>L81*Navires!$K$2</f>
        <v>0</v>
      </c>
      <c r="AF81" s="118">
        <f>M81*Navires!$L$2</f>
        <v>0</v>
      </c>
      <c r="AG81" s="118">
        <f>N81*Navires!$M$2</f>
        <v>0</v>
      </c>
      <c r="AH81" s="118">
        <f>O81*Navires!$N$2</f>
        <v>0</v>
      </c>
      <c r="AI81" s="118">
        <f>P81*Navires!$O$2</f>
        <v>0</v>
      </c>
      <c r="AJ81" s="118">
        <f>Q81*Navires!$P$2</f>
        <v>0</v>
      </c>
      <c r="AK81" s="35">
        <f>(SUM(V81:AJ81))*Générale!$B$13</f>
        <v>3910</v>
      </c>
    </row>
    <row r="82" spans="1:37" s="117" customFormat="1" ht="15" customHeight="1" x14ac:dyDescent="0.25">
      <c r="C82" s="215" t="s">
        <v>63</v>
      </c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U82" s="217" t="s">
        <v>64</v>
      </c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</row>
    <row r="83" spans="1:37" s="117" customFormat="1" ht="26.25" customHeight="1" x14ac:dyDescent="0.25"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</row>
    <row r="84" spans="1:37" s="117" customFormat="1" ht="45" x14ac:dyDescent="0.25">
      <c r="C84" s="24" t="s">
        <v>21</v>
      </c>
      <c r="D84" s="24" t="s">
        <v>22</v>
      </c>
      <c r="E84" s="23" t="s">
        <v>23</v>
      </c>
      <c r="F84" s="24" t="s">
        <v>24</v>
      </c>
      <c r="G84" s="24" t="s">
        <v>25</v>
      </c>
      <c r="H84" s="24" t="s">
        <v>26</v>
      </c>
      <c r="I84" s="25" t="s">
        <v>30</v>
      </c>
      <c r="J84" s="25" t="s">
        <v>33</v>
      </c>
      <c r="K84" s="25" t="s">
        <v>65</v>
      </c>
      <c r="L84" s="25" t="s">
        <v>31</v>
      </c>
      <c r="M84" s="25" t="s">
        <v>32</v>
      </c>
      <c r="N84" s="25" t="s">
        <v>29</v>
      </c>
      <c r="O84" s="25" t="s">
        <v>28</v>
      </c>
      <c r="P84" s="24" t="s">
        <v>27</v>
      </c>
      <c r="Q84" s="31" t="s">
        <v>34</v>
      </c>
      <c r="R84" s="33" t="s">
        <v>60</v>
      </c>
      <c r="U84" s="118"/>
      <c r="V84" s="23" t="s">
        <v>21</v>
      </c>
      <c r="W84" s="23" t="s">
        <v>22</v>
      </c>
      <c r="X84" s="23" t="s">
        <v>23</v>
      </c>
      <c r="Y84" s="23" t="s">
        <v>24</v>
      </c>
      <c r="Z84" s="23" t="s">
        <v>25</v>
      </c>
      <c r="AA84" s="23" t="s">
        <v>26</v>
      </c>
      <c r="AB84" s="23" t="s">
        <v>30</v>
      </c>
      <c r="AC84" s="23" t="s">
        <v>33</v>
      </c>
      <c r="AD84" s="23" t="s">
        <v>26</v>
      </c>
      <c r="AE84" s="23" t="s">
        <v>31</v>
      </c>
      <c r="AF84" s="23" t="s">
        <v>32</v>
      </c>
      <c r="AG84" s="23" t="s">
        <v>29</v>
      </c>
      <c r="AH84" s="23" t="s">
        <v>28</v>
      </c>
      <c r="AI84" s="23" t="s">
        <v>27</v>
      </c>
      <c r="AJ84" s="23" t="s">
        <v>34</v>
      </c>
      <c r="AK84" s="37" t="s">
        <v>60</v>
      </c>
    </row>
    <row r="85" spans="1:37" s="117" customFormat="1" x14ac:dyDescent="0.25">
      <c r="A85" s="117">
        <v>24</v>
      </c>
      <c r="B85" s="118" t="s">
        <v>147</v>
      </c>
      <c r="C85" s="118">
        <v>1</v>
      </c>
      <c r="D85" s="118"/>
      <c r="F85" s="118">
        <v>1</v>
      </c>
      <c r="G85" s="118"/>
      <c r="H85" s="118">
        <v>1</v>
      </c>
      <c r="I85" s="118"/>
      <c r="J85" s="118"/>
      <c r="K85" s="118"/>
      <c r="L85" s="118"/>
      <c r="M85" s="118"/>
      <c r="N85" s="118"/>
      <c r="O85" s="118"/>
      <c r="P85" s="118"/>
      <c r="Q85" s="32"/>
      <c r="R85" s="34">
        <f t="shared" ref="R85:R86" si="16">SUM(C85:Q85)</f>
        <v>3</v>
      </c>
      <c r="U85" s="118" t="s">
        <v>147</v>
      </c>
      <c r="V85" s="118">
        <f>C85*Navires!$B$2</f>
        <v>1955</v>
      </c>
      <c r="W85" s="118">
        <f>D85*Navires!$C$2</f>
        <v>0</v>
      </c>
      <c r="X85" s="118">
        <f>E85*Navires!$D$2</f>
        <v>0</v>
      </c>
      <c r="Y85" s="118">
        <f>F85*Navires!$E$2</f>
        <v>1880</v>
      </c>
      <c r="Z85" s="118">
        <f>G85*Navires!$F$2</f>
        <v>0</v>
      </c>
      <c r="AA85" s="118">
        <f>H85*Navires!$G$2</f>
        <v>2000</v>
      </c>
      <c r="AB85" s="118">
        <f>I85*Navires!$H$2</f>
        <v>0</v>
      </c>
      <c r="AC85" s="118">
        <f>J85*Navires!$I$2</f>
        <v>0</v>
      </c>
      <c r="AD85" s="118">
        <f>K85*Navires!$J$2</f>
        <v>0</v>
      </c>
      <c r="AE85" s="118">
        <f>L85*Navires!$K$2</f>
        <v>0</v>
      </c>
      <c r="AF85" s="118">
        <f>M85*Navires!$L$2</f>
        <v>0</v>
      </c>
      <c r="AG85" s="118">
        <f>N85*Navires!$M$2</f>
        <v>0</v>
      </c>
      <c r="AH85" s="118">
        <f>O85*Navires!$N$2</f>
        <v>0</v>
      </c>
      <c r="AI85" s="118">
        <f>P85*Navires!$O$2</f>
        <v>0</v>
      </c>
      <c r="AJ85" s="118">
        <f>Q85*Navires!$P$2</f>
        <v>0</v>
      </c>
      <c r="AK85" s="35">
        <f>(SUM(V85:AJ85))*Générale!$B$13</f>
        <v>5835</v>
      </c>
    </row>
    <row r="86" spans="1:37" s="117" customFormat="1" x14ac:dyDescent="0.25">
      <c r="A86" s="117">
        <v>25</v>
      </c>
      <c r="B86" s="118" t="s">
        <v>148</v>
      </c>
      <c r="C86" s="118"/>
      <c r="D86" s="118"/>
      <c r="E86" s="118"/>
      <c r="F86" s="118"/>
      <c r="G86" s="118"/>
      <c r="H86" s="118">
        <v>1</v>
      </c>
      <c r="I86" s="118">
        <v>1</v>
      </c>
      <c r="J86" s="118"/>
      <c r="K86" s="118"/>
      <c r="L86" s="118"/>
      <c r="M86" s="118"/>
      <c r="N86" s="118"/>
      <c r="O86" s="118"/>
      <c r="P86" s="118"/>
      <c r="Q86" s="32"/>
      <c r="R86" s="34">
        <f t="shared" si="16"/>
        <v>2</v>
      </c>
      <c r="U86" s="118" t="s">
        <v>148</v>
      </c>
      <c r="V86" s="118">
        <f>C86*Navires!$B$2</f>
        <v>0</v>
      </c>
      <c r="W86" s="118">
        <f>D86*Navires!$C$2</f>
        <v>0</v>
      </c>
      <c r="X86" s="118">
        <f>E86*Navires!$D$2</f>
        <v>0</v>
      </c>
      <c r="Y86" s="118">
        <f>F86*Navires!$E$2</f>
        <v>0</v>
      </c>
      <c r="Z86" s="118">
        <f>G86*Navires!$F$2</f>
        <v>0</v>
      </c>
      <c r="AA86" s="118">
        <f>H86*Navires!$G$2</f>
        <v>2000</v>
      </c>
      <c r="AB86" s="118">
        <f>I86*Navires!$H$2</f>
        <v>2000</v>
      </c>
      <c r="AC86" s="118">
        <f>J86*Navires!$I$2</f>
        <v>0</v>
      </c>
      <c r="AD86" s="118">
        <f>K86*Navires!$J$2</f>
        <v>0</v>
      </c>
      <c r="AE86" s="118">
        <f>L86*Navires!$K$2</f>
        <v>0</v>
      </c>
      <c r="AF86" s="118">
        <f>M86*Navires!$L$2</f>
        <v>0</v>
      </c>
      <c r="AG86" s="118">
        <f>N86*Navires!$M$2</f>
        <v>0</v>
      </c>
      <c r="AH86" s="118">
        <f>O86*Navires!$N$2</f>
        <v>0</v>
      </c>
      <c r="AI86" s="118">
        <f>P86*Navires!$O$2</f>
        <v>0</v>
      </c>
      <c r="AJ86" s="118">
        <f>Q86*Navires!$P$2</f>
        <v>0</v>
      </c>
      <c r="AK86" s="35">
        <f>(SUM(V86:AJ86))*Générale!$B$13</f>
        <v>4000</v>
      </c>
    </row>
    <row r="87" spans="1:37" s="117" customFormat="1" x14ac:dyDescent="0.25">
      <c r="A87" s="117">
        <v>26</v>
      </c>
      <c r="B87" s="118" t="s">
        <v>149</v>
      </c>
      <c r="C87" s="118">
        <v>1</v>
      </c>
      <c r="D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32"/>
      <c r="R87" s="34">
        <f t="shared" ref="R87:R90" si="17">SUM(C87:Q87)</f>
        <v>1</v>
      </c>
      <c r="U87" s="118" t="s">
        <v>149</v>
      </c>
      <c r="V87" s="118">
        <f>C87*Navires!$B$2</f>
        <v>1955</v>
      </c>
      <c r="W87" s="118">
        <f>D87*Navires!$C$2</f>
        <v>0</v>
      </c>
      <c r="X87" s="118">
        <f>E87*Navires!$D$2</f>
        <v>0</v>
      </c>
      <c r="Y87" s="118">
        <f>F87*Navires!$E$2</f>
        <v>0</v>
      </c>
      <c r="Z87" s="118">
        <f>G87*Navires!$F$2</f>
        <v>0</v>
      </c>
      <c r="AA87" s="118">
        <f>H87*Navires!$G$2</f>
        <v>0</v>
      </c>
      <c r="AB87" s="118">
        <f>I87*Navires!$H$2</f>
        <v>0</v>
      </c>
      <c r="AC87" s="118">
        <f>J87*Navires!$I$2</f>
        <v>0</v>
      </c>
      <c r="AD87" s="118">
        <f>K87*Navires!$J$2</f>
        <v>0</v>
      </c>
      <c r="AE87" s="118">
        <f>L87*Navires!$K$2</f>
        <v>0</v>
      </c>
      <c r="AF87" s="118">
        <f>M87*Navires!$L$2</f>
        <v>0</v>
      </c>
      <c r="AG87" s="118">
        <f>N87*Navires!$M$2</f>
        <v>0</v>
      </c>
      <c r="AH87" s="118">
        <f>O87*Navires!$N$2</f>
        <v>0</v>
      </c>
      <c r="AI87" s="118">
        <f>P87*Navires!$O$2</f>
        <v>0</v>
      </c>
      <c r="AJ87" s="118">
        <f>Q87*Navires!$P$2</f>
        <v>0</v>
      </c>
      <c r="AK87" s="35">
        <f>(SUM(V87:AJ87))*Générale!$B$13</f>
        <v>1955</v>
      </c>
    </row>
    <row r="88" spans="1:37" s="117" customFormat="1" x14ac:dyDescent="0.25">
      <c r="A88" s="117">
        <v>27</v>
      </c>
      <c r="B88" s="118" t="s">
        <v>150</v>
      </c>
      <c r="C88" s="118">
        <v>1</v>
      </c>
      <c r="D88" s="118"/>
      <c r="E88" s="118"/>
      <c r="F88" s="118"/>
      <c r="G88" s="118">
        <v>1</v>
      </c>
      <c r="H88" s="118"/>
      <c r="I88" s="118"/>
      <c r="J88" s="118"/>
      <c r="K88" s="118"/>
      <c r="L88" s="118"/>
      <c r="M88" s="118"/>
      <c r="N88" s="118"/>
      <c r="O88" s="118"/>
      <c r="P88" s="118"/>
      <c r="Q88" s="32"/>
      <c r="R88" s="34">
        <f t="shared" si="17"/>
        <v>2</v>
      </c>
      <c r="U88" s="118" t="s">
        <v>150</v>
      </c>
      <c r="V88" s="118">
        <f>C88*Navires!$B$2</f>
        <v>1955</v>
      </c>
      <c r="W88" s="118">
        <f>D88*Navires!$C$2</f>
        <v>0</v>
      </c>
      <c r="X88" s="118">
        <f>E88*Navires!$D$2</f>
        <v>0</v>
      </c>
      <c r="Y88" s="118">
        <f>F88*Navires!$E$2</f>
        <v>0</v>
      </c>
      <c r="Z88" s="118">
        <f>G88*Navires!$F$2</f>
        <v>1896</v>
      </c>
      <c r="AA88" s="118">
        <f>H88*Navires!$G$2</f>
        <v>0</v>
      </c>
      <c r="AB88" s="118">
        <f>I88*Navires!$H$2</f>
        <v>0</v>
      </c>
      <c r="AC88" s="118">
        <f>J88*Navires!$I$2</f>
        <v>0</v>
      </c>
      <c r="AD88" s="118">
        <f>K88*Navires!$J$2</f>
        <v>0</v>
      </c>
      <c r="AE88" s="118">
        <f>L88*Navires!$K$2</f>
        <v>0</v>
      </c>
      <c r="AF88" s="118">
        <f>M88*Navires!$L$2</f>
        <v>0</v>
      </c>
      <c r="AG88" s="118">
        <f>N88*Navires!$M$2</f>
        <v>0</v>
      </c>
      <c r="AH88" s="118">
        <f>O88*Navires!$N$2</f>
        <v>0</v>
      </c>
      <c r="AI88" s="118">
        <f>P88*Navires!$O$2</f>
        <v>0</v>
      </c>
      <c r="AJ88" s="118">
        <f>Q88*Navires!$P$2</f>
        <v>0</v>
      </c>
      <c r="AK88" s="35">
        <f>(SUM(V88:AJ88))*Générale!$B$13</f>
        <v>3851</v>
      </c>
    </row>
    <row r="89" spans="1:37" s="117" customFormat="1" x14ac:dyDescent="0.25">
      <c r="A89" s="117">
        <v>28</v>
      </c>
      <c r="B89" s="118" t="s">
        <v>151</v>
      </c>
      <c r="C89" s="118"/>
      <c r="D89" s="118">
        <v>1</v>
      </c>
      <c r="F89" s="118">
        <v>1</v>
      </c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32"/>
      <c r="R89" s="34">
        <f t="shared" si="17"/>
        <v>2</v>
      </c>
      <c r="U89" s="118" t="s">
        <v>151</v>
      </c>
      <c r="V89" s="118">
        <f>C89*Navires!$B$2</f>
        <v>0</v>
      </c>
      <c r="W89" s="118">
        <f>D89*Navires!$C$2</f>
        <v>1955</v>
      </c>
      <c r="X89" s="118">
        <f>E89*Navires!$D$2</f>
        <v>0</v>
      </c>
      <c r="Y89" s="118">
        <f>F89*Navires!$E$2</f>
        <v>1880</v>
      </c>
      <c r="Z89" s="118">
        <f>G89*Navires!$F$2</f>
        <v>0</v>
      </c>
      <c r="AA89" s="118">
        <f>H89*Navires!$G$2</f>
        <v>0</v>
      </c>
      <c r="AB89" s="118">
        <f>I89*Navires!$H$2</f>
        <v>0</v>
      </c>
      <c r="AC89" s="118">
        <f>J89*Navires!$I$2</f>
        <v>0</v>
      </c>
      <c r="AD89" s="118">
        <f>K89*Navires!$J$2</f>
        <v>0</v>
      </c>
      <c r="AE89" s="118">
        <f>L89*Navires!$K$2</f>
        <v>0</v>
      </c>
      <c r="AF89" s="118">
        <f>M89*Navires!$L$2</f>
        <v>0</v>
      </c>
      <c r="AG89" s="118">
        <f>N89*Navires!$M$2</f>
        <v>0</v>
      </c>
      <c r="AH89" s="118">
        <f>O89*Navires!$N$2</f>
        <v>0</v>
      </c>
      <c r="AI89" s="118">
        <f>P89*Navires!$O$2</f>
        <v>0</v>
      </c>
      <c r="AJ89" s="118">
        <f>Q89*Navires!$P$2</f>
        <v>0</v>
      </c>
      <c r="AK89" s="35">
        <f>(SUM(V89:AJ89))*Générale!$B$13</f>
        <v>3835</v>
      </c>
    </row>
    <row r="90" spans="1:37" s="117" customFormat="1" x14ac:dyDescent="0.25">
      <c r="A90" s="117">
        <v>29</v>
      </c>
      <c r="B90" s="118" t="s">
        <v>152</v>
      </c>
      <c r="C90" s="118"/>
      <c r="D90" s="118">
        <v>1</v>
      </c>
      <c r="E90" s="118"/>
      <c r="F90" s="118">
        <v>1</v>
      </c>
      <c r="G90" s="118"/>
      <c r="H90" s="118"/>
      <c r="I90" s="118"/>
      <c r="J90" s="118">
        <v>1</v>
      </c>
      <c r="K90" s="118"/>
      <c r="L90" s="118"/>
      <c r="M90" s="118"/>
      <c r="N90" s="118"/>
      <c r="O90" s="118"/>
      <c r="P90" s="118"/>
      <c r="Q90" s="32"/>
      <c r="R90" s="34">
        <f t="shared" si="17"/>
        <v>3</v>
      </c>
      <c r="U90" s="118" t="s">
        <v>152</v>
      </c>
      <c r="V90" s="118">
        <f>C90*Navires!$B$2</f>
        <v>0</v>
      </c>
      <c r="W90" s="118">
        <f>D90*Navires!$C$2</f>
        <v>1955</v>
      </c>
      <c r="X90" s="118">
        <f>E90*Navires!$D$2</f>
        <v>0</v>
      </c>
      <c r="Y90" s="118">
        <f>F90*Navires!$E$2</f>
        <v>1880</v>
      </c>
      <c r="Z90" s="118">
        <f>G90*Navires!$F$2</f>
        <v>0</v>
      </c>
      <c r="AA90" s="118">
        <f>H90*Navires!$G$2</f>
        <v>0</v>
      </c>
      <c r="AB90" s="118">
        <f>I90*Navires!$H$2</f>
        <v>0</v>
      </c>
      <c r="AC90" s="118">
        <f>J90*Navires!$I$2</f>
        <v>2000</v>
      </c>
      <c r="AD90" s="118">
        <f>K90*Navires!$J$2</f>
        <v>0</v>
      </c>
      <c r="AE90" s="118">
        <f>L90*Navires!$K$2</f>
        <v>0</v>
      </c>
      <c r="AF90" s="118">
        <f>M90*Navires!$L$2</f>
        <v>0</v>
      </c>
      <c r="AG90" s="118">
        <f>N90*Navires!$M$2</f>
        <v>0</v>
      </c>
      <c r="AH90" s="118">
        <f>O90*Navires!$N$2</f>
        <v>0</v>
      </c>
      <c r="AI90" s="118">
        <f>P90*Navires!$O$2</f>
        <v>0</v>
      </c>
      <c r="AJ90" s="118">
        <f>Q90*Navires!$P$2</f>
        <v>0</v>
      </c>
      <c r="AK90" s="35">
        <f>(SUM(V90:AJ90))*Générale!$B$13</f>
        <v>5835</v>
      </c>
    </row>
    <row r="91" spans="1:37" s="117" customFormat="1" x14ac:dyDescent="0.25">
      <c r="A91" s="117">
        <v>30</v>
      </c>
      <c r="B91" s="118" t="s">
        <v>146</v>
      </c>
      <c r="C91" s="118"/>
      <c r="D91" s="118">
        <v>1</v>
      </c>
      <c r="E91" s="118"/>
      <c r="F91" s="118">
        <v>1</v>
      </c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32"/>
      <c r="R91" s="34">
        <f>SUM(C91:Q91)</f>
        <v>2</v>
      </c>
      <c r="U91" s="118" t="s">
        <v>146</v>
      </c>
      <c r="V91" s="118">
        <f>C91*Navires!$B$2</f>
        <v>0</v>
      </c>
      <c r="W91" s="118">
        <f>D91*Navires!$C$2</f>
        <v>1955</v>
      </c>
      <c r="X91" s="118">
        <f>E91*Navires!$D$2</f>
        <v>0</v>
      </c>
      <c r="Y91" s="118">
        <f>F91*Navires!$E$2</f>
        <v>1880</v>
      </c>
      <c r="Z91" s="118">
        <f>G91*Navires!$F$2</f>
        <v>0</v>
      </c>
      <c r="AA91" s="118">
        <f>H91*Navires!$G$2</f>
        <v>0</v>
      </c>
      <c r="AB91" s="118">
        <f>I91*Navires!$H$2</f>
        <v>0</v>
      </c>
      <c r="AC91" s="118">
        <f>J91*Navires!$I$2</f>
        <v>0</v>
      </c>
      <c r="AD91" s="118">
        <f>K91*Navires!$J$2</f>
        <v>0</v>
      </c>
      <c r="AE91" s="118">
        <f>L91*Navires!$K$2</f>
        <v>0</v>
      </c>
      <c r="AF91" s="118">
        <f>M91*Navires!$L$2</f>
        <v>0</v>
      </c>
      <c r="AG91" s="118">
        <f>N91*Navires!$M$2</f>
        <v>0</v>
      </c>
      <c r="AH91" s="118">
        <f>O91*Navires!$N$2</f>
        <v>0</v>
      </c>
      <c r="AI91" s="118">
        <f>P91*Navires!$O$2</f>
        <v>0</v>
      </c>
      <c r="AJ91" s="118">
        <f>Q91*Navires!$P$2</f>
        <v>0</v>
      </c>
      <c r="AK91" s="35">
        <f>(SUM(V91:AJ91))*Générale!$B$13</f>
        <v>3835</v>
      </c>
    </row>
  </sheetData>
  <mergeCells count="16">
    <mergeCell ref="C72:Q73"/>
    <mergeCell ref="V72:AJ73"/>
    <mergeCell ref="C82:Q83"/>
    <mergeCell ref="U82:AK83"/>
    <mergeCell ref="BF1:BT2"/>
    <mergeCell ref="BE18:BU19"/>
    <mergeCell ref="C50:Q51"/>
    <mergeCell ref="V50:AJ51"/>
    <mergeCell ref="C60:Q61"/>
    <mergeCell ref="U60:AK61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1"/>
  <sheetViews>
    <sheetView topLeftCell="BF1" workbookViewId="0">
      <selection activeCell="BU1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65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0</v>
      </c>
      <c r="D4" s="2">
        <v>1</v>
      </c>
      <c r="E4" s="2">
        <v>0</v>
      </c>
      <c r="F4" s="2">
        <v>0</v>
      </c>
      <c r="G4" s="2">
        <v>10</v>
      </c>
      <c r="H4" s="2">
        <v>14</v>
      </c>
      <c r="I4" s="2">
        <v>4</v>
      </c>
      <c r="J4" s="2">
        <v>0</v>
      </c>
      <c r="K4" s="2"/>
      <c r="L4" s="2"/>
      <c r="M4" s="2">
        <v>1</v>
      </c>
      <c r="N4" s="2"/>
      <c r="O4" s="2"/>
      <c r="P4" s="2"/>
      <c r="Q4" s="32"/>
      <c r="R4" s="34">
        <f>SUM(C4:Q4)</f>
        <v>30</v>
      </c>
      <c r="S4" s="82">
        <f>R4/R36</f>
        <v>6.772009029345373</v>
      </c>
      <c r="U4" s="2" t="s">
        <v>36</v>
      </c>
      <c r="V4" s="2">
        <f>C4*Navires!$B$2</f>
        <v>0</v>
      </c>
      <c r="W4" s="2">
        <f>D4*Navires!$C$2</f>
        <v>1955</v>
      </c>
      <c r="X4" s="2">
        <f>E4*Navires!$D$2</f>
        <v>0</v>
      </c>
      <c r="Y4" s="2">
        <f>F4*Navires!$E$2</f>
        <v>0</v>
      </c>
      <c r="Z4" s="2">
        <f>G4*Navires!$F$2</f>
        <v>18960</v>
      </c>
      <c r="AA4" s="2">
        <f>H4*Navires!$G$2</f>
        <v>28000</v>
      </c>
      <c r="AB4" s="2">
        <f>I4*Navires!$H$2</f>
        <v>8000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1790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58705</v>
      </c>
      <c r="AM4" s="118" t="s">
        <v>36</v>
      </c>
      <c r="AN4" s="118">
        <f>C4*Navires!$B$6</f>
        <v>0</v>
      </c>
      <c r="AO4" s="118">
        <f>D4*Navires!$C$6</f>
        <v>570.4</v>
      </c>
      <c r="AP4" s="118">
        <f>E4*Navires!$D$6</f>
        <v>0</v>
      </c>
      <c r="AQ4" s="118">
        <f>F4*Navires!$E$6</f>
        <v>0</v>
      </c>
      <c r="AR4" s="118">
        <f>G4*Navires!$F$6</f>
        <v>6808.0000000000009</v>
      </c>
      <c r="AS4" s="118">
        <f>H4*Navires!$G$6</f>
        <v>9520</v>
      </c>
      <c r="AT4" s="118">
        <f>I4*Navires!$H$6</f>
        <v>2720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680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10149.200000000001</v>
      </c>
      <c r="BE4" s="118" t="s">
        <v>36</v>
      </c>
      <c r="BF4" s="118">
        <f>C4*Navires!$B$6</f>
        <v>0</v>
      </c>
      <c r="BG4" s="118">
        <f>D4*Navires!$B$6</f>
        <v>570.4</v>
      </c>
      <c r="BH4" s="118">
        <f>E4*Navires!$B$6</f>
        <v>0</v>
      </c>
      <c r="BI4" s="118">
        <f>F4*Navires!$B$6</f>
        <v>0</v>
      </c>
      <c r="BJ4" s="118">
        <f>G4*Navires!$B$6</f>
        <v>5704</v>
      </c>
      <c r="BK4" s="118">
        <f>H4*Navires!$B$6</f>
        <v>7985.5999999999995</v>
      </c>
      <c r="BL4" s="118">
        <f>I4*Navires!$B$6</f>
        <v>2281.6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570.4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11978.4</v>
      </c>
    </row>
    <row r="5" spans="1:73" x14ac:dyDescent="0.25">
      <c r="A5" t="s">
        <v>49</v>
      </c>
      <c r="B5" s="2" t="s">
        <v>37</v>
      </c>
      <c r="C5" s="2">
        <v>2</v>
      </c>
      <c r="D5" s="2">
        <v>4</v>
      </c>
      <c r="E5">
        <v>0</v>
      </c>
      <c r="F5" s="2">
        <v>0</v>
      </c>
      <c r="G5" s="2">
        <v>8</v>
      </c>
      <c r="H5" s="2">
        <v>14</v>
      </c>
      <c r="I5" s="2">
        <v>1</v>
      </c>
      <c r="J5" s="2">
        <v>0</v>
      </c>
      <c r="K5" s="2"/>
      <c r="L5" s="2"/>
      <c r="M5" s="2">
        <v>0</v>
      </c>
      <c r="N5" s="2"/>
      <c r="O5" s="2"/>
      <c r="P5" s="2"/>
      <c r="Q5" s="32"/>
      <c r="R5" s="34">
        <f t="shared" ref="R5:R16" si="0">SUM(C5:Q5)</f>
        <v>29</v>
      </c>
      <c r="S5" s="82">
        <f t="shared" ref="S5:S16" si="1">R5/R37</f>
        <v>7.25</v>
      </c>
      <c r="U5" s="2" t="s">
        <v>37</v>
      </c>
      <c r="V5" s="2">
        <f>C5*Navires!$B$2</f>
        <v>3910</v>
      </c>
      <c r="W5" s="2">
        <f>D5*Navires!$C$2</f>
        <v>7820</v>
      </c>
      <c r="X5" s="2">
        <f>E5*Navires!$D$2</f>
        <v>0</v>
      </c>
      <c r="Y5" s="2">
        <f>F5*Navires!$E$2</f>
        <v>0</v>
      </c>
      <c r="Z5" s="2">
        <f>G5*Navires!$F$2</f>
        <v>15168</v>
      </c>
      <c r="AA5" s="2">
        <f>H5*Navires!$G$2</f>
        <v>28000</v>
      </c>
      <c r="AB5" s="2">
        <f>I5*Navires!$H$2</f>
        <v>2000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56898</v>
      </c>
      <c r="AM5" s="118" t="s">
        <v>37</v>
      </c>
      <c r="AN5" s="118">
        <f>C5*Navires!$B$6</f>
        <v>1140.8</v>
      </c>
      <c r="AO5" s="118">
        <f>D5*Navires!$C$6</f>
        <v>2281.6</v>
      </c>
      <c r="AP5" s="118">
        <f>E5*Navires!$D$6</f>
        <v>0</v>
      </c>
      <c r="AQ5" s="118">
        <f>F5*Navires!$E$6</f>
        <v>0</v>
      </c>
      <c r="AR5" s="118">
        <f>G5*Navires!$F$6</f>
        <v>5446.4000000000005</v>
      </c>
      <c r="AS5" s="118">
        <f>H5*Navires!$G$6</f>
        <v>9520</v>
      </c>
      <c r="AT5" s="118">
        <f>I5*Navires!$H$6</f>
        <v>680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9534.4</v>
      </c>
      <c r="BE5" s="118" t="s">
        <v>37</v>
      </c>
      <c r="BF5" s="118">
        <f>C5*Navires!$B$6</f>
        <v>1140.8</v>
      </c>
      <c r="BG5" s="118">
        <f>D5*Navires!$B$6</f>
        <v>2281.6</v>
      </c>
      <c r="BH5" s="118">
        <f>E5*Navires!$B$6</f>
        <v>0</v>
      </c>
      <c r="BI5" s="118">
        <f>F5*Navires!$B$6</f>
        <v>0</v>
      </c>
      <c r="BJ5" s="118">
        <f>G5*Navires!$B$6</f>
        <v>4563.2</v>
      </c>
      <c r="BK5" s="118">
        <f>H5*Navires!$B$6</f>
        <v>7985.5999999999995</v>
      </c>
      <c r="BL5" s="118">
        <f>I5*Navires!$B$6</f>
        <v>570.4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11579.119999999999</v>
      </c>
    </row>
    <row r="6" spans="1:73" x14ac:dyDescent="0.25">
      <c r="A6" t="s">
        <v>50</v>
      </c>
      <c r="B6" s="2" t="s">
        <v>38</v>
      </c>
      <c r="C6" s="2">
        <v>1</v>
      </c>
      <c r="D6" s="2">
        <v>2</v>
      </c>
      <c r="E6" s="2">
        <v>0</v>
      </c>
      <c r="F6" s="2">
        <v>13</v>
      </c>
      <c r="G6" s="2">
        <v>0</v>
      </c>
      <c r="H6" s="2">
        <v>10</v>
      </c>
      <c r="I6" s="2">
        <v>7</v>
      </c>
      <c r="J6" s="2">
        <v>0</v>
      </c>
      <c r="K6" s="2"/>
      <c r="L6" s="2"/>
      <c r="M6" s="2">
        <v>0</v>
      </c>
      <c r="N6" s="2"/>
      <c r="O6" s="2"/>
      <c r="P6" s="2"/>
      <c r="Q6" s="32"/>
      <c r="R6" s="34">
        <f t="shared" si="0"/>
        <v>33</v>
      </c>
      <c r="S6" s="82">
        <f t="shared" si="1"/>
        <v>7.4492099322799099</v>
      </c>
      <c r="U6" s="2" t="s">
        <v>38</v>
      </c>
      <c r="V6" s="2">
        <f>C6*Navires!$B$2</f>
        <v>1955</v>
      </c>
      <c r="W6" s="2">
        <f>D6*Navires!$C$2</f>
        <v>3910</v>
      </c>
      <c r="X6" s="2">
        <f>E6*Navires!$D$2</f>
        <v>0</v>
      </c>
      <c r="Y6" s="2">
        <f>F6*Navires!$E$2</f>
        <v>24440</v>
      </c>
      <c r="Z6" s="2">
        <f>G6*Navires!$F$2</f>
        <v>0</v>
      </c>
      <c r="AA6" s="2">
        <f>H6*Navires!$G$2</f>
        <v>20000</v>
      </c>
      <c r="AB6" s="2">
        <f>I6*Navires!$H$2</f>
        <v>14000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64305</v>
      </c>
      <c r="AM6" s="118" t="s">
        <v>38</v>
      </c>
      <c r="AN6" s="118">
        <f>C6*Navires!$B$6</f>
        <v>570.4</v>
      </c>
      <c r="AO6" s="118">
        <f>D6*Navires!$C$6</f>
        <v>1140.8</v>
      </c>
      <c r="AP6" s="118">
        <f>E6*Navires!$D$6</f>
        <v>0</v>
      </c>
      <c r="AQ6" s="118">
        <f>F6*Navires!$E$6</f>
        <v>15964</v>
      </c>
      <c r="AR6" s="118">
        <f>G6*Navires!$F$6</f>
        <v>0</v>
      </c>
      <c r="AS6" s="118">
        <f>H6*Navires!$G$6</f>
        <v>6800</v>
      </c>
      <c r="AT6" s="118">
        <f>I6*Navires!$H$6</f>
        <v>4760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14617.6</v>
      </c>
      <c r="BE6" s="118" t="s">
        <v>38</v>
      </c>
      <c r="BF6" s="118">
        <f>C6*Navires!$B$6</f>
        <v>570.4</v>
      </c>
      <c r="BG6" s="118">
        <f>D6*Navires!$B$6</f>
        <v>1140.8</v>
      </c>
      <c r="BH6" s="118">
        <f>E6*Navires!$B$6</f>
        <v>0</v>
      </c>
      <c r="BI6" s="118">
        <f>F6*Navires!$B$6</f>
        <v>7415.2</v>
      </c>
      <c r="BJ6" s="118">
        <f>G6*Navires!$B$6</f>
        <v>0</v>
      </c>
      <c r="BK6" s="118">
        <f>H6*Navires!$B$6</f>
        <v>5704</v>
      </c>
      <c r="BL6" s="118">
        <f>I6*Navires!$B$6</f>
        <v>3992.7999999999997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13176.24</v>
      </c>
    </row>
    <row r="7" spans="1:73" x14ac:dyDescent="0.25">
      <c r="A7" t="s">
        <v>51</v>
      </c>
      <c r="B7" s="2" t="s">
        <v>39</v>
      </c>
      <c r="C7" s="2">
        <v>2</v>
      </c>
      <c r="D7" s="2">
        <v>5</v>
      </c>
      <c r="E7" s="2">
        <v>0</v>
      </c>
      <c r="F7" s="2">
        <v>6</v>
      </c>
      <c r="G7" s="2">
        <v>3</v>
      </c>
      <c r="H7" s="2">
        <v>3</v>
      </c>
      <c r="I7" s="2">
        <v>15</v>
      </c>
      <c r="J7" s="2">
        <v>0</v>
      </c>
      <c r="K7" s="2"/>
      <c r="L7" s="2"/>
      <c r="M7" s="2">
        <v>0</v>
      </c>
      <c r="N7" s="2"/>
      <c r="O7" s="2"/>
      <c r="P7" s="2"/>
      <c r="Q7" s="32"/>
      <c r="R7" s="34">
        <f t="shared" si="0"/>
        <v>34</v>
      </c>
      <c r="S7" s="82">
        <f t="shared" si="1"/>
        <v>7.9439252336448591</v>
      </c>
      <c r="U7" s="2" t="s">
        <v>39</v>
      </c>
      <c r="V7" s="2">
        <f>C7*Navires!$B$2</f>
        <v>3910</v>
      </c>
      <c r="W7" s="2">
        <f>D7*Navires!$C$2</f>
        <v>9775</v>
      </c>
      <c r="X7" s="2">
        <f>E7*Navires!$D$2</f>
        <v>0</v>
      </c>
      <c r="Y7" s="2">
        <f>F7*Navires!$E$2</f>
        <v>11280</v>
      </c>
      <c r="Z7" s="2">
        <f>G7*Navires!$F$2</f>
        <v>5688</v>
      </c>
      <c r="AA7" s="2">
        <f>H7*Navires!$G$2</f>
        <v>6000</v>
      </c>
      <c r="AB7" s="2">
        <f>I7*Navires!$H$2</f>
        <v>30000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66653</v>
      </c>
      <c r="AM7" s="118" t="s">
        <v>39</v>
      </c>
      <c r="AN7" s="118">
        <f>C7*Navires!$B$6</f>
        <v>1140.8</v>
      </c>
      <c r="AO7" s="118">
        <f>D7*Navires!$C$6</f>
        <v>2852</v>
      </c>
      <c r="AP7" s="118">
        <f>E7*Navires!$D$6</f>
        <v>0</v>
      </c>
      <c r="AQ7" s="118">
        <f>F7*Navires!$E$6</f>
        <v>7368</v>
      </c>
      <c r="AR7" s="118">
        <f>G7*Navires!$F$6</f>
        <v>2042.4</v>
      </c>
      <c r="AS7" s="118">
        <f>H7*Navires!$G$6</f>
        <v>2040</v>
      </c>
      <c r="AT7" s="118">
        <f>I7*Navires!$H$6</f>
        <v>10200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12821.599999999999</v>
      </c>
      <c r="BE7" s="118" t="s">
        <v>39</v>
      </c>
      <c r="BF7" s="118">
        <f>C7*Navires!$B$6</f>
        <v>1140.8</v>
      </c>
      <c r="BG7" s="118">
        <f>D7*Navires!$B$6</f>
        <v>2852</v>
      </c>
      <c r="BH7" s="118">
        <f>E7*Navires!$B$6</f>
        <v>0</v>
      </c>
      <c r="BI7" s="118">
        <f>F7*Navires!$B$6</f>
        <v>3422.3999999999996</v>
      </c>
      <c r="BJ7" s="118">
        <f>G7*Navires!$B$6</f>
        <v>1711.1999999999998</v>
      </c>
      <c r="BK7" s="118">
        <f>H7*Navires!$B$6</f>
        <v>1711.1999999999998</v>
      </c>
      <c r="BL7" s="118">
        <f>I7*Navires!$B$6</f>
        <v>8556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32969.119999999995</v>
      </c>
    </row>
    <row r="8" spans="1:73" x14ac:dyDescent="0.25">
      <c r="A8" t="s">
        <v>52</v>
      </c>
      <c r="B8" s="2" t="s">
        <v>40</v>
      </c>
      <c r="C8" s="2">
        <v>0</v>
      </c>
      <c r="D8" s="2">
        <v>8</v>
      </c>
      <c r="E8" s="2">
        <v>0</v>
      </c>
      <c r="F8" s="2">
        <v>6</v>
      </c>
      <c r="G8" s="2">
        <v>3</v>
      </c>
      <c r="H8" s="2">
        <v>6</v>
      </c>
      <c r="I8" s="2">
        <v>11</v>
      </c>
      <c r="J8" s="2">
        <v>0</v>
      </c>
      <c r="K8" s="2"/>
      <c r="L8" s="2"/>
      <c r="M8" s="2">
        <v>0</v>
      </c>
      <c r="N8" s="2"/>
      <c r="O8" s="2"/>
      <c r="P8" s="2"/>
      <c r="Q8" s="32"/>
      <c r="R8" s="34">
        <f t="shared" si="0"/>
        <v>34</v>
      </c>
      <c r="S8" s="82">
        <f t="shared" si="1"/>
        <v>7.6749435665914225</v>
      </c>
      <c r="U8" s="2" t="s">
        <v>40</v>
      </c>
      <c r="V8" s="2">
        <f>C8*Navires!$B$2</f>
        <v>0</v>
      </c>
      <c r="W8" s="2">
        <f>D8*Navires!$C$2</f>
        <v>15640</v>
      </c>
      <c r="X8" s="2">
        <f>E8*Navires!$D$2</f>
        <v>0</v>
      </c>
      <c r="Y8" s="2">
        <f>F8*Navires!$E$2</f>
        <v>11280</v>
      </c>
      <c r="Z8" s="2">
        <f>G8*Navires!$F$2</f>
        <v>5688</v>
      </c>
      <c r="AA8" s="2">
        <f>H8*Navires!$G$2</f>
        <v>12000</v>
      </c>
      <c r="AB8" s="2">
        <f>I8*Navires!$H$2</f>
        <v>22000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66608</v>
      </c>
      <c r="AM8" s="118" t="s">
        <v>40</v>
      </c>
      <c r="AN8" s="118">
        <f>C8*Navires!$B$6</f>
        <v>0</v>
      </c>
      <c r="AO8" s="118">
        <f>D8*Navires!$C$6</f>
        <v>4563.2</v>
      </c>
      <c r="AP8" s="118">
        <f>E8*Navires!$D$6</f>
        <v>0</v>
      </c>
      <c r="AQ8" s="118">
        <f>F8*Navires!$E$6</f>
        <v>7368</v>
      </c>
      <c r="AR8" s="118">
        <f>G8*Navires!$F$6</f>
        <v>2042.4</v>
      </c>
      <c r="AS8" s="118">
        <f>H8*Navires!$G$6</f>
        <v>4080</v>
      </c>
      <c r="AT8" s="118">
        <f>I8*Navires!$H$6</f>
        <v>7480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7660.079999999999</v>
      </c>
      <c r="BE8" s="118" t="s">
        <v>40</v>
      </c>
      <c r="BF8" s="118">
        <f>C8*Navires!$B$6</f>
        <v>0</v>
      </c>
      <c r="BG8" s="118">
        <f>D8*Navires!$B$6</f>
        <v>4563.2</v>
      </c>
      <c r="BH8" s="118">
        <f>E8*Navires!$B$6</f>
        <v>0</v>
      </c>
      <c r="BI8" s="118">
        <f>F8*Navires!$B$6</f>
        <v>3422.3999999999996</v>
      </c>
      <c r="BJ8" s="118">
        <f>G8*Navires!$B$6</f>
        <v>1711.1999999999998</v>
      </c>
      <c r="BK8" s="118">
        <f>H8*Navires!$B$6</f>
        <v>3422.3999999999996</v>
      </c>
      <c r="BL8" s="118">
        <f>I8*Navires!$B$6</f>
        <v>6274.4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32969.119999999995</v>
      </c>
    </row>
    <row r="9" spans="1:73" x14ac:dyDescent="0.25">
      <c r="A9" t="s">
        <v>53</v>
      </c>
      <c r="B9" s="2" t="s">
        <v>41</v>
      </c>
      <c r="C9" s="2">
        <v>1</v>
      </c>
      <c r="D9" s="2">
        <v>8</v>
      </c>
      <c r="E9" s="2">
        <v>0</v>
      </c>
      <c r="F9" s="2">
        <v>4</v>
      </c>
      <c r="G9" s="2">
        <v>8</v>
      </c>
      <c r="H9" s="2">
        <v>6</v>
      </c>
      <c r="I9" s="2">
        <v>8</v>
      </c>
      <c r="J9" s="2">
        <v>1</v>
      </c>
      <c r="K9" s="2"/>
      <c r="L9" s="2"/>
      <c r="M9" s="2">
        <v>0</v>
      </c>
      <c r="N9" s="2"/>
      <c r="O9" s="2"/>
      <c r="P9" s="2"/>
      <c r="Q9" s="32"/>
      <c r="R9" s="34">
        <f t="shared" si="0"/>
        <v>36</v>
      </c>
      <c r="S9" s="82">
        <f t="shared" si="1"/>
        <v>8.4112149532710276</v>
      </c>
      <c r="U9" s="2" t="s">
        <v>41</v>
      </c>
      <c r="V9" s="2">
        <f>C9*Navires!$B$2</f>
        <v>1955</v>
      </c>
      <c r="W9" s="2">
        <f>D9*Navires!$C$2</f>
        <v>15640</v>
      </c>
      <c r="X9" s="2">
        <f>E9*Navires!$D$2</f>
        <v>0</v>
      </c>
      <c r="Y9" s="2">
        <f>F9*Navires!$E$2</f>
        <v>7520</v>
      </c>
      <c r="Z9" s="2">
        <f>G9*Navires!$F$2</f>
        <v>15168</v>
      </c>
      <c r="AA9" s="2">
        <f>H9*Navires!$G$2</f>
        <v>12000</v>
      </c>
      <c r="AB9" s="2">
        <f>I9*Navires!$H$2</f>
        <v>16000</v>
      </c>
      <c r="AC9" s="2">
        <f>J9*Navires!$I$2</f>
        <v>2000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70283</v>
      </c>
      <c r="AM9" s="118" t="s">
        <v>41</v>
      </c>
      <c r="AN9" s="118">
        <f>C9*Navires!$B$6</f>
        <v>570.4</v>
      </c>
      <c r="AO9" s="118">
        <f>D9*Navires!$C$6</f>
        <v>4563.2</v>
      </c>
      <c r="AP9" s="118">
        <f>E9*Navires!$D$6</f>
        <v>0</v>
      </c>
      <c r="AQ9" s="118">
        <f>F9*Navires!$E$6</f>
        <v>4912</v>
      </c>
      <c r="AR9" s="118">
        <f>G9*Navires!$F$6</f>
        <v>5446.4000000000005</v>
      </c>
      <c r="AS9" s="118">
        <f>H9*Navires!$G$6</f>
        <v>4080</v>
      </c>
      <c r="AT9" s="118">
        <f>I9*Navires!$H$6</f>
        <v>5440</v>
      </c>
      <c r="AU9" s="118">
        <f>J9*Navires!$I$6</f>
        <v>1560.8000000000002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7971.8399999999992</v>
      </c>
      <c r="BE9" s="118" t="s">
        <v>41</v>
      </c>
      <c r="BF9" s="118">
        <f>C9*Navires!$B$6</f>
        <v>570.4</v>
      </c>
      <c r="BG9" s="118">
        <f>D9*Navires!$B$6</f>
        <v>4563.2</v>
      </c>
      <c r="BH9" s="118">
        <f>E9*Navires!$B$6</f>
        <v>0</v>
      </c>
      <c r="BI9" s="118">
        <f>F9*Navires!$B$6</f>
        <v>2281.6</v>
      </c>
      <c r="BJ9" s="118">
        <f>G9*Navires!$B$6</f>
        <v>4563.2</v>
      </c>
      <c r="BK9" s="118">
        <f>H9*Navires!$B$6</f>
        <v>3422.3999999999996</v>
      </c>
      <c r="BL9" s="118">
        <f>I9*Navires!$B$6</f>
        <v>4563.2</v>
      </c>
      <c r="BM9" s="118">
        <f>J9*Navires!$B$6</f>
        <v>570.4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34908.479999999996</v>
      </c>
    </row>
    <row r="10" spans="1:73" x14ac:dyDescent="0.25">
      <c r="A10" t="s">
        <v>54</v>
      </c>
      <c r="B10" s="2" t="s">
        <v>42</v>
      </c>
      <c r="C10" s="2">
        <v>3</v>
      </c>
      <c r="D10" s="2">
        <v>6</v>
      </c>
      <c r="E10" s="2">
        <v>0</v>
      </c>
      <c r="F10" s="2">
        <v>6</v>
      </c>
      <c r="G10" s="2">
        <v>9</v>
      </c>
      <c r="H10" s="2">
        <v>7</v>
      </c>
      <c r="I10" s="2">
        <v>8</v>
      </c>
      <c r="J10" s="2">
        <v>0</v>
      </c>
      <c r="K10" s="2"/>
      <c r="L10" s="2"/>
      <c r="M10" s="2">
        <v>0</v>
      </c>
      <c r="N10" s="2"/>
      <c r="O10" s="2"/>
      <c r="P10" s="2"/>
      <c r="Q10" s="32"/>
      <c r="R10" s="34">
        <f t="shared" si="0"/>
        <v>39</v>
      </c>
      <c r="S10" s="82">
        <f t="shared" si="1"/>
        <v>8.8036117381489856</v>
      </c>
      <c r="U10" s="2" t="s">
        <v>42</v>
      </c>
      <c r="V10" s="2">
        <f>C10*Navires!$B$2</f>
        <v>5865</v>
      </c>
      <c r="W10" s="2">
        <f>D10*Navires!$C$2</f>
        <v>11730</v>
      </c>
      <c r="X10" s="2">
        <f>E10*Navires!$D$2</f>
        <v>0</v>
      </c>
      <c r="Y10" s="2">
        <f>F10*Navires!$E$2</f>
        <v>11280</v>
      </c>
      <c r="Z10" s="2">
        <f>G10*Navires!$F$2</f>
        <v>17064</v>
      </c>
      <c r="AA10" s="2">
        <f>H10*Navires!$G$2</f>
        <v>14000</v>
      </c>
      <c r="AB10" s="2">
        <f>I10*Navires!$H$2</f>
        <v>16000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75939</v>
      </c>
      <c r="AM10" s="118" t="s">
        <v>42</v>
      </c>
      <c r="AN10" s="118">
        <f>C10*Navires!$B$6</f>
        <v>1711.1999999999998</v>
      </c>
      <c r="AO10" s="118">
        <f>D10*Navires!$C$6</f>
        <v>3422.3999999999996</v>
      </c>
      <c r="AP10" s="118">
        <f>E10*Navires!$D$6</f>
        <v>0</v>
      </c>
      <c r="AQ10" s="118">
        <f>F10*Navires!$E$6</f>
        <v>7368</v>
      </c>
      <c r="AR10" s="118">
        <f>G10*Navires!$F$6</f>
        <v>6127.2000000000007</v>
      </c>
      <c r="AS10" s="118">
        <f>H10*Navires!$G$6</f>
        <v>4760</v>
      </c>
      <c r="AT10" s="118">
        <f>I10*Navires!$H$6</f>
        <v>5440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8648.64</v>
      </c>
      <c r="BE10" s="118" t="s">
        <v>42</v>
      </c>
      <c r="BF10" s="118">
        <f>C10*Navires!$B$6</f>
        <v>1711.1999999999998</v>
      </c>
      <c r="BG10" s="118">
        <f>D10*Navires!$B$6</f>
        <v>3422.3999999999996</v>
      </c>
      <c r="BH10" s="118">
        <f>E10*Navires!$B$6</f>
        <v>0</v>
      </c>
      <c r="BI10" s="118">
        <f>F10*Navires!$B$6</f>
        <v>3422.3999999999996</v>
      </c>
      <c r="BJ10" s="118">
        <f>G10*Navires!$B$6</f>
        <v>5133.5999999999995</v>
      </c>
      <c r="BK10" s="118">
        <f>H10*Navires!$B$6</f>
        <v>3992.7999999999997</v>
      </c>
      <c r="BL10" s="118">
        <f>I10*Navires!$B$6</f>
        <v>4563.2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37817.519999999997</v>
      </c>
    </row>
    <row r="11" spans="1:73" x14ac:dyDescent="0.25">
      <c r="A11" t="s">
        <v>55</v>
      </c>
      <c r="B11" s="2" t="s">
        <v>43</v>
      </c>
      <c r="C11" s="2">
        <v>7</v>
      </c>
      <c r="D11" s="2">
        <v>4</v>
      </c>
      <c r="E11" s="2">
        <v>0</v>
      </c>
      <c r="F11" s="2">
        <v>5</v>
      </c>
      <c r="G11" s="2">
        <v>11</v>
      </c>
      <c r="H11" s="2">
        <v>9</v>
      </c>
      <c r="I11" s="2">
        <v>6</v>
      </c>
      <c r="J11" s="2">
        <v>0</v>
      </c>
      <c r="K11" s="2"/>
      <c r="L11" s="2"/>
      <c r="M11" s="2">
        <v>0</v>
      </c>
      <c r="N11" s="2"/>
      <c r="O11" s="2"/>
      <c r="P11" s="2"/>
      <c r="Q11" s="32"/>
      <c r="R11" s="34">
        <f t="shared" si="0"/>
        <v>42</v>
      </c>
      <c r="S11" s="82">
        <f t="shared" si="1"/>
        <v>9.4808126410835225</v>
      </c>
      <c r="U11" s="2" t="s">
        <v>43</v>
      </c>
      <c r="V11" s="2">
        <f>C11*Navires!$B$2</f>
        <v>13685</v>
      </c>
      <c r="W11" s="2">
        <f>D11*Navires!$C$2</f>
        <v>7820</v>
      </c>
      <c r="X11" s="2">
        <f>E11*Navires!$D$2</f>
        <v>0</v>
      </c>
      <c r="Y11" s="2">
        <f>F11*Navires!$E$2</f>
        <v>9400</v>
      </c>
      <c r="Z11" s="2">
        <f>G11*Navires!$F$2</f>
        <v>20856</v>
      </c>
      <c r="AA11" s="2">
        <f>H11*Navires!$G$2</f>
        <v>18000</v>
      </c>
      <c r="AB11" s="2">
        <f>I11*Navires!$H$2</f>
        <v>12000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81761</v>
      </c>
      <c r="AM11" s="118" t="s">
        <v>43</v>
      </c>
      <c r="AN11" s="118">
        <f>C11*Navires!$B$6</f>
        <v>3992.7999999999997</v>
      </c>
      <c r="AO11" s="118">
        <f>D11*Navires!$C$6</f>
        <v>2281.6</v>
      </c>
      <c r="AP11" s="118">
        <f>E11*Navires!$D$6</f>
        <v>0</v>
      </c>
      <c r="AQ11" s="118">
        <f>F11*Navires!$E$6</f>
        <v>6140</v>
      </c>
      <c r="AR11" s="118">
        <f>G11*Navires!$F$6</f>
        <v>7488.8000000000011</v>
      </c>
      <c r="AS11" s="118">
        <f>H11*Navires!$G$6</f>
        <v>6120</v>
      </c>
      <c r="AT11" s="118">
        <f>I11*Navires!$H$6</f>
        <v>4080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9030.9599999999991</v>
      </c>
      <c r="BE11" s="118" t="s">
        <v>43</v>
      </c>
      <c r="BF11" s="118">
        <f>C11*Navires!$B$6</f>
        <v>3992.7999999999997</v>
      </c>
      <c r="BG11" s="118">
        <f>D11*Navires!$B$6</f>
        <v>2281.6</v>
      </c>
      <c r="BH11" s="118">
        <f>E11*Navires!$B$6</f>
        <v>0</v>
      </c>
      <c r="BI11" s="118">
        <f>F11*Navires!$B$6</f>
        <v>2852</v>
      </c>
      <c r="BJ11" s="118">
        <f>G11*Navires!$B$6</f>
        <v>6274.4</v>
      </c>
      <c r="BK11" s="118">
        <f>H11*Navires!$B$6</f>
        <v>5133.5999999999995</v>
      </c>
      <c r="BL11" s="118">
        <f>I11*Navires!$B$6</f>
        <v>3422.3999999999996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40726.55999999999</v>
      </c>
    </row>
    <row r="12" spans="1:73" x14ac:dyDescent="0.25">
      <c r="A12" t="s">
        <v>56</v>
      </c>
      <c r="B12" s="2" t="s">
        <v>44</v>
      </c>
      <c r="C12" s="2">
        <v>1</v>
      </c>
      <c r="D12" s="2">
        <v>2</v>
      </c>
      <c r="E12" s="2">
        <v>0</v>
      </c>
      <c r="F12" s="2">
        <v>0</v>
      </c>
      <c r="G12" s="2">
        <v>5</v>
      </c>
      <c r="H12" s="2">
        <v>8</v>
      </c>
      <c r="I12" s="2">
        <v>11</v>
      </c>
      <c r="J12" s="2">
        <v>12</v>
      </c>
      <c r="K12" s="2"/>
      <c r="L12" s="2"/>
      <c r="M12" s="2">
        <v>0</v>
      </c>
      <c r="N12" s="2"/>
      <c r="O12" s="2"/>
      <c r="P12" s="2"/>
      <c r="Q12" s="32"/>
      <c r="R12" s="34">
        <f t="shared" si="0"/>
        <v>39</v>
      </c>
      <c r="S12" s="82">
        <f t="shared" si="1"/>
        <v>9.1121495327102799</v>
      </c>
      <c r="U12" s="2" t="s">
        <v>44</v>
      </c>
      <c r="V12" s="2">
        <f>C12*Navires!$B$2</f>
        <v>1955</v>
      </c>
      <c r="W12" s="2">
        <f>D12*Navires!$C$2</f>
        <v>3910</v>
      </c>
      <c r="X12" s="2">
        <f>E12*Navires!$D$2</f>
        <v>0</v>
      </c>
      <c r="Y12" s="2">
        <f>F12*Navires!$E$2</f>
        <v>0</v>
      </c>
      <c r="Z12" s="2">
        <f>G12*Navires!$F$2</f>
        <v>9480</v>
      </c>
      <c r="AA12" s="2">
        <f>H12*Navires!$G$2</f>
        <v>16000</v>
      </c>
      <c r="AB12" s="2">
        <f>I12*Navires!$H$2</f>
        <v>22000</v>
      </c>
      <c r="AC12" s="2">
        <f>J12*Navires!$I$2</f>
        <v>24000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77345</v>
      </c>
      <c r="AM12" s="118" t="s">
        <v>44</v>
      </c>
      <c r="AN12" s="118">
        <f>C12*Navires!$B$6</f>
        <v>570.4</v>
      </c>
      <c r="AO12" s="118">
        <f>D12*Navires!$C$6</f>
        <v>1140.8</v>
      </c>
      <c r="AP12" s="118">
        <f>E12*Navires!$D$6</f>
        <v>0</v>
      </c>
      <c r="AQ12" s="118">
        <f>F12*Navires!$E$6</f>
        <v>0</v>
      </c>
      <c r="AR12" s="118">
        <f>G12*Navires!$F$6</f>
        <v>3404.0000000000005</v>
      </c>
      <c r="AS12" s="118">
        <f>H12*Navires!$G$6</f>
        <v>5440</v>
      </c>
      <c r="AT12" s="118">
        <f>I12*Navires!$H$6</f>
        <v>7480</v>
      </c>
      <c r="AU12" s="118">
        <f>J12*Navires!$I$6</f>
        <v>18729.600000000002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11029.44</v>
      </c>
      <c r="BE12" s="118" t="s">
        <v>44</v>
      </c>
      <c r="BF12" s="118">
        <f>C12*Navires!$B$6</f>
        <v>570.4</v>
      </c>
      <c r="BG12" s="118">
        <f>D12*Navires!$B$6</f>
        <v>1140.8</v>
      </c>
      <c r="BH12" s="118">
        <f>E12*Navires!$B$6</f>
        <v>0</v>
      </c>
      <c r="BI12" s="118">
        <f>F12*Navires!$B$6</f>
        <v>0</v>
      </c>
      <c r="BJ12" s="118">
        <f>G12*Navires!$B$6</f>
        <v>2852</v>
      </c>
      <c r="BK12" s="118">
        <f>H12*Navires!$B$6</f>
        <v>4563.2</v>
      </c>
      <c r="BL12" s="118">
        <f>I12*Navires!$B$6</f>
        <v>6274.4</v>
      </c>
      <c r="BM12" s="118">
        <f>J12*Navires!$B$6</f>
        <v>6844.7999999999993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37817.519999999997</v>
      </c>
    </row>
    <row r="13" spans="1:73" x14ac:dyDescent="0.25">
      <c r="A13" t="s">
        <v>57</v>
      </c>
      <c r="B13" s="2" t="s">
        <v>45</v>
      </c>
      <c r="C13" s="2">
        <v>0</v>
      </c>
      <c r="D13" s="2">
        <v>1</v>
      </c>
      <c r="E13" s="2">
        <v>1</v>
      </c>
      <c r="F13" s="2">
        <v>0</v>
      </c>
      <c r="G13" s="2">
        <v>1</v>
      </c>
      <c r="H13" s="2">
        <v>12</v>
      </c>
      <c r="I13" s="2">
        <v>9</v>
      </c>
      <c r="J13" s="2">
        <v>13</v>
      </c>
      <c r="K13" s="2"/>
      <c r="L13" s="2"/>
      <c r="M13" s="2">
        <v>0</v>
      </c>
      <c r="N13" s="2"/>
      <c r="O13" s="2"/>
      <c r="P13" s="2"/>
      <c r="Q13" s="32"/>
      <c r="R13" s="34">
        <f t="shared" si="0"/>
        <v>37</v>
      </c>
      <c r="S13" s="82">
        <f t="shared" si="1"/>
        <v>8.3521444695259603</v>
      </c>
      <c r="U13" s="2" t="s">
        <v>45</v>
      </c>
      <c r="V13" s="2">
        <f>C13*Navires!$B$2</f>
        <v>0</v>
      </c>
      <c r="W13" s="2">
        <f>D13*Navires!$C$2</f>
        <v>1955</v>
      </c>
      <c r="X13" s="2">
        <f>E13*Navires!$D$2</f>
        <v>2106</v>
      </c>
      <c r="Y13" s="2">
        <f>F13*Navires!$E$2</f>
        <v>0</v>
      </c>
      <c r="Z13" s="2">
        <f>G13*Navires!$F$2</f>
        <v>1896</v>
      </c>
      <c r="AA13" s="2">
        <f>H13*Navires!$G$2</f>
        <v>24000</v>
      </c>
      <c r="AB13" s="2">
        <f>I13*Navires!$H$2</f>
        <v>18000</v>
      </c>
      <c r="AC13" s="2">
        <f>J13*Navires!$I$2</f>
        <v>26000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73957</v>
      </c>
      <c r="AM13" s="118" t="s">
        <v>45</v>
      </c>
      <c r="AN13" s="118">
        <f>C13*Navires!$B$6</f>
        <v>0</v>
      </c>
      <c r="AO13" s="118">
        <f>D13*Navires!$C$6</f>
        <v>570.4</v>
      </c>
      <c r="AP13" s="118">
        <f>E13*Navires!$D$6</f>
        <v>800</v>
      </c>
      <c r="AQ13" s="118">
        <f>F13*Navires!$E$6</f>
        <v>0</v>
      </c>
      <c r="AR13" s="118">
        <f>G13*Navires!$F$6</f>
        <v>680.80000000000007</v>
      </c>
      <c r="AS13" s="118">
        <f>H13*Navires!$G$6</f>
        <v>8160</v>
      </c>
      <c r="AT13" s="118">
        <f>I13*Navires!$H$6</f>
        <v>6120</v>
      </c>
      <c r="AU13" s="118">
        <f>J13*Navires!$I$6</f>
        <v>20290.400000000001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18310.800000000003</v>
      </c>
      <c r="BE13" s="118" t="s">
        <v>45</v>
      </c>
      <c r="BF13" s="118">
        <f>C13*Navires!$B$6</f>
        <v>0</v>
      </c>
      <c r="BG13" s="118">
        <f>D13*Navires!$B$6</f>
        <v>570.4</v>
      </c>
      <c r="BH13" s="118">
        <f>E13*Navires!$B$6</f>
        <v>570.4</v>
      </c>
      <c r="BI13" s="118">
        <f>F13*Navires!$B$6</f>
        <v>0</v>
      </c>
      <c r="BJ13" s="118">
        <f>G13*Navires!$B$6</f>
        <v>570.4</v>
      </c>
      <c r="BK13" s="118">
        <f>H13*Navires!$B$6</f>
        <v>6844.7999999999993</v>
      </c>
      <c r="BL13" s="118">
        <f>I13*Navires!$B$6</f>
        <v>5133.5999999999995</v>
      </c>
      <c r="BM13" s="118">
        <f>J13*Navires!$B$6</f>
        <v>7415.2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35878.159999999996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  <c r="L14" s="2"/>
      <c r="M14" s="2">
        <v>0</v>
      </c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/>
      <c r="L15" s="2"/>
      <c r="M15" s="2">
        <v>0</v>
      </c>
      <c r="N15" s="2"/>
      <c r="O15" s="2"/>
      <c r="P15" s="2"/>
      <c r="Q15" s="32"/>
      <c r="R15" s="34">
        <f t="shared" si="0"/>
        <v>0</v>
      </c>
      <c r="S15" s="82">
        <f t="shared" si="1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17</v>
      </c>
      <c r="D16" s="30">
        <f t="shared" ref="D16:Q16" si="2">SUM(D4:D15)</f>
        <v>41</v>
      </c>
      <c r="E16" s="30">
        <f t="shared" si="2"/>
        <v>1</v>
      </c>
      <c r="F16" s="30">
        <f t="shared" si="2"/>
        <v>40</v>
      </c>
      <c r="G16" s="30">
        <f t="shared" si="2"/>
        <v>58</v>
      </c>
      <c r="H16" s="30">
        <f t="shared" si="2"/>
        <v>89</v>
      </c>
      <c r="I16" s="30">
        <f t="shared" si="2"/>
        <v>80</v>
      </c>
      <c r="J16" s="30">
        <f t="shared" si="2"/>
        <v>26</v>
      </c>
      <c r="K16" s="30">
        <f t="shared" si="2"/>
        <v>0</v>
      </c>
      <c r="L16" s="30">
        <f t="shared" si="2"/>
        <v>0</v>
      </c>
      <c r="M16" s="30">
        <f t="shared" si="2"/>
        <v>1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353</v>
      </c>
      <c r="S16" s="82">
        <f t="shared" si="1"/>
        <v>6.771532706694801</v>
      </c>
      <c r="U16" s="29" t="s">
        <v>60</v>
      </c>
      <c r="V16" s="30">
        <f>SUM(V4:V15)</f>
        <v>33235</v>
      </c>
      <c r="W16" s="30">
        <f t="shared" ref="W16:AJ16" si="3">SUM(W4:W15)</f>
        <v>80155</v>
      </c>
      <c r="X16" s="30">
        <f t="shared" si="3"/>
        <v>2106</v>
      </c>
      <c r="Y16" s="30">
        <f t="shared" si="3"/>
        <v>75200</v>
      </c>
      <c r="Z16" s="30">
        <f t="shared" si="3"/>
        <v>109968</v>
      </c>
      <c r="AA16" s="30">
        <f t="shared" si="3"/>
        <v>178000</v>
      </c>
      <c r="AB16" s="30">
        <f t="shared" si="3"/>
        <v>160000</v>
      </c>
      <c r="AC16" s="30">
        <f t="shared" si="3"/>
        <v>52000</v>
      </c>
      <c r="AD16" s="30">
        <f t="shared" si="3"/>
        <v>0</v>
      </c>
      <c r="AE16" s="30">
        <f t="shared" si="3"/>
        <v>0</v>
      </c>
      <c r="AF16" s="30">
        <f t="shared" si="3"/>
        <v>1790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9696.7999999999993</v>
      </c>
      <c r="AO16" s="30">
        <f t="shared" ref="AO16:BB16" si="4">SUM(AO4:AO15)</f>
        <v>23386.399999999998</v>
      </c>
      <c r="AP16" s="30">
        <f t="shared" si="4"/>
        <v>800</v>
      </c>
      <c r="AQ16" s="30">
        <f t="shared" si="4"/>
        <v>49120</v>
      </c>
      <c r="AR16" s="30">
        <f t="shared" si="4"/>
        <v>39486.400000000009</v>
      </c>
      <c r="AS16" s="30">
        <f t="shared" si="4"/>
        <v>60520</v>
      </c>
      <c r="AT16" s="30">
        <f t="shared" si="4"/>
        <v>54400</v>
      </c>
      <c r="AU16" s="30">
        <f t="shared" si="4"/>
        <v>40580.800000000003</v>
      </c>
      <c r="AV16" s="30">
        <f t="shared" si="4"/>
        <v>0</v>
      </c>
      <c r="AW16" s="30">
        <f t="shared" si="4"/>
        <v>0</v>
      </c>
      <c r="AX16" s="30">
        <f t="shared" si="4"/>
        <v>680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9696.7999999999993</v>
      </c>
      <c r="BG16" s="30">
        <f t="shared" ref="BG16:BT16" si="5">SUM(BG4:BG15)</f>
        <v>23386.399999999998</v>
      </c>
      <c r="BH16" s="30">
        <f t="shared" si="5"/>
        <v>570.4</v>
      </c>
      <c r="BI16" s="30">
        <f t="shared" si="5"/>
        <v>22816</v>
      </c>
      <c r="BJ16" s="30">
        <f t="shared" si="5"/>
        <v>33083.200000000004</v>
      </c>
      <c r="BK16" s="30">
        <f t="shared" si="5"/>
        <v>50765.599999999991</v>
      </c>
      <c r="BL16" s="30">
        <f t="shared" si="5"/>
        <v>45632</v>
      </c>
      <c r="BM16" s="30">
        <f t="shared" si="5"/>
        <v>14830.399999999998</v>
      </c>
      <c r="BN16" s="30">
        <f t="shared" si="5"/>
        <v>0</v>
      </c>
      <c r="BO16" s="30">
        <f t="shared" si="5"/>
        <v>0</v>
      </c>
      <c r="BP16" s="30">
        <f t="shared" si="5"/>
        <v>570.4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1</v>
      </c>
      <c r="E21" s="2">
        <v>0</v>
      </c>
      <c r="F21" s="2">
        <v>0</v>
      </c>
      <c r="G21" s="2">
        <v>11</v>
      </c>
      <c r="H21" s="2">
        <v>14</v>
      </c>
      <c r="I21" s="2">
        <v>4</v>
      </c>
      <c r="J21" s="2">
        <v>0</v>
      </c>
      <c r="K21" s="2"/>
      <c r="L21" s="2"/>
      <c r="M21" s="2">
        <v>1</v>
      </c>
      <c r="N21" s="2"/>
      <c r="O21" s="2"/>
      <c r="P21" s="2"/>
      <c r="Q21" s="32"/>
      <c r="R21" s="34">
        <f>SUM(C21:Q21)</f>
        <v>31</v>
      </c>
      <c r="S21" s="82">
        <f>R21/R36</f>
        <v>6.9977426636568856</v>
      </c>
      <c r="U21" s="2" t="s">
        <v>36</v>
      </c>
      <c r="V21" s="2">
        <f>C21*Navires!$B$2</f>
        <v>0</v>
      </c>
      <c r="W21" s="2">
        <f>D21*Navires!$C$2</f>
        <v>1955</v>
      </c>
      <c r="X21" s="2">
        <f>E21*Navires!$D$2</f>
        <v>0</v>
      </c>
      <c r="Y21" s="2">
        <f>F21*Navires!$E$2</f>
        <v>0</v>
      </c>
      <c r="Z21" s="2">
        <f>G21*Navires!$F$2</f>
        <v>20856</v>
      </c>
      <c r="AA21" s="2">
        <f>H21*Navires!$G$2</f>
        <v>28000</v>
      </c>
      <c r="AB21" s="2">
        <f>I21*Navires!$H$2</f>
        <v>8000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1790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60601</v>
      </c>
      <c r="AM21" s="118" t="s">
        <v>36</v>
      </c>
      <c r="AN21" s="118">
        <f>C21*Navires!$B$6</f>
        <v>0</v>
      </c>
      <c r="AO21" s="118">
        <f>D21*Navires!$C$6</f>
        <v>570.4</v>
      </c>
      <c r="AP21" s="118">
        <f>E21*Navires!$D$6</f>
        <v>0</v>
      </c>
      <c r="AQ21" s="118">
        <f>F21*Navires!$E$6</f>
        <v>0</v>
      </c>
      <c r="AR21" s="118">
        <f>G21*Navires!$F$6</f>
        <v>7488.8000000000011</v>
      </c>
      <c r="AS21" s="118">
        <f>H21*Navires!$G$6</f>
        <v>9520</v>
      </c>
      <c r="AT21" s="118">
        <f>I21*Navires!$H$6</f>
        <v>2720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680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10489.6</v>
      </c>
      <c r="BE21" s="118" t="s">
        <v>36</v>
      </c>
      <c r="BF21" s="118">
        <f>C21*Navires!$B$6</f>
        <v>0</v>
      </c>
      <c r="BG21" s="118">
        <f>D21*Navires!$B$6</f>
        <v>570.4</v>
      </c>
      <c r="BH21" s="118">
        <f>E21*Navires!$B$6</f>
        <v>0</v>
      </c>
      <c r="BI21" s="118">
        <f>F21*Navires!$B$6</f>
        <v>0</v>
      </c>
      <c r="BJ21" s="118">
        <f>G21*Navires!$B$6</f>
        <v>6274.4</v>
      </c>
      <c r="BK21" s="118">
        <f>H21*Navires!$B$6</f>
        <v>7985.5999999999995</v>
      </c>
      <c r="BL21" s="118">
        <f>I21*Navires!$B$6</f>
        <v>2281.6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570.4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12377.679999999998</v>
      </c>
    </row>
    <row r="22" spans="1:73" x14ac:dyDescent="0.25">
      <c r="A22" t="s">
        <v>49</v>
      </c>
      <c r="B22" s="2" t="s">
        <v>37</v>
      </c>
      <c r="C22" s="2">
        <v>2</v>
      </c>
      <c r="D22" s="2">
        <v>5</v>
      </c>
      <c r="E22">
        <v>0</v>
      </c>
      <c r="F22" s="2">
        <v>0</v>
      </c>
      <c r="G22" s="2">
        <v>7</v>
      </c>
      <c r="H22" s="2">
        <v>14</v>
      </c>
      <c r="I22" s="2">
        <v>1</v>
      </c>
      <c r="J22" s="2">
        <v>0</v>
      </c>
      <c r="K22" s="2"/>
      <c r="L22" s="2"/>
      <c r="M22" s="2">
        <v>0</v>
      </c>
      <c r="N22" s="2"/>
      <c r="O22" s="2"/>
      <c r="P22" s="2"/>
      <c r="Q22" s="32"/>
      <c r="R22" s="34">
        <f t="shared" ref="R22:R33" si="6">SUM(C22:Q22)</f>
        <v>29</v>
      </c>
      <c r="S22" s="82">
        <f t="shared" ref="S22:S33" si="7">R22/R37</f>
        <v>7.25</v>
      </c>
      <c r="U22" s="2" t="s">
        <v>37</v>
      </c>
      <c r="V22" s="2">
        <f>C22*Navires!$B$2</f>
        <v>3910</v>
      </c>
      <c r="W22" s="2">
        <f>D22*Navires!$C$2</f>
        <v>9775</v>
      </c>
      <c r="X22" s="2">
        <f>E22*Navires!$D$2</f>
        <v>0</v>
      </c>
      <c r="Y22" s="2">
        <f>F22*Navires!$E$2</f>
        <v>0</v>
      </c>
      <c r="Z22" s="2">
        <f>G22*Navires!$F$2</f>
        <v>13272</v>
      </c>
      <c r="AA22" s="2">
        <f>H22*Navires!$G$2</f>
        <v>28000</v>
      </c>
      <c r="AB22" s="2">
        <f>I22*Navires!$H$2</f>
        <v>2000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56957</v>
      </c>
      <c r="AM22" s="118" t="s">
        <v>37</v>
      </c>
      <c r="AN22" s="118">
        <f>C22*Navires!$B$6</f>
        <v>1140.8</v>
      </c>
      <c r="AO22" s="118">
        <f>D22*Navires!$C$6</f>
        <v>2852</v>
      </c>
      <c r="AP22" s="118">
        <f>E22*Navires!$D$6</f>
        <v>0</v>
      </c>
      <c r="AQ22" s="118">
        <f>F22*Navires!$E$6</f>
        <v>0</v>
      </c>
      <c r="AR22" s="118">
        <f>G22*Navires!$F$6</f>
        <v>4765.6000000000004</v>
      </c>
      <c r="AS22" s="118">
        <f>H22*Navires!$G$6</f>
        <v>9520</v>
      </c>
      <c r="AT22" s="118">
        <f>I22*Navires!$H$6</f>
        <v>680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9479.2000000000007</v>
      </c>
      <c r="BE22" s="118" t="s">
        <v>37</v>
      </c>
      <c r="BF22" s="118">
        <f>C22*Navires!$B$6</f>
        <v>1140.8</v>
      </c>
      <c r="BG22" s="118">
        <f>D22*Navires!$B$6</f>
        <v>2852</v>
      </c>
      <c r="BH22" s="118">
        <f>E22*Navires!$B$6</f>
        <v>0</v>
      </c>
      <c r="BI22" s="118">
        <f>F22*Navires!$B$6</f>
        <v>0</v>
      </c>
      <c r="BJ22" s="118">
        <f>G22*Navires!$B$6</f>
        <v>3992.7999999999997</v>
      </c>
      <c r="BK22" s="118">
        <f>H22*Navires!$B$6</f>
        <v>7985.5999999999995</v>
      </c>
      <c r="BL22" s="118">
        <f>I22*Navires!$B$6</f>
        <v>570.4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11579.12</v>
      </c>
    </row>
    <row r="23" spans="1:73" x14ac:dyDescent="0.25">
      <c r="A23" t="s">
        <v>50</v>
      </c>
      <c r="B23" s="2" t="s">
        <v>38</v>
      </c>
      <c r="C23" s="2">
        <v>1</v>
      </c>
      <c r="D23" s="2">
        <v>1</v>
      </c>
      <c r="E23" s="2">
        <v>0</v>
      </c>
      <c r="F23" s="2">
        <v>12</v>
      </c>
      <c r="G23" s="2">
        <v>0</v>
      </c>
      <c r="H23" s="2">
        <v>9</v>
      </c>
      <c r="I23" s="2">
        <v>8</v>
      </c>
      <c r="J23" s="2">
        <v>0</v>
      </c>
      <c r="K23" s="2"/>
      <c r="L23" s="2"/>
      <c r="M23" s="2">
        <v>0</v>
      </c>
      <c r="N23" s="2"/>
      <c r="O23" s="2"/>
      <c r="P23" s="2"/>
      <c r="Q23" s="32"/>
      <c r="R23" s="34">
        <f t="shared" si="6"/>
        <v>31</v>
      </c>
      <c r="S23" s="82">
        <f t="shared" si="7"/>
        <v>6.9977426636568856</v>
      </c>
      <c r="U23" s="2" t="s">
        <v>38</v>
      </c>
      <c r="V23" s="2">
        <f>C23*Navires!$B$2</f>
        <v>1955</v>
      </c>
      <c r="W23" s="2">
        <f>D23*Navires!$C$2</f>
        <v>1955</v>
      </c>
      <c r="X23" s="2">
        <f>E23*Navires!$D$2</f>
        <v>0</v>
      </c>
      <c r="Y23" s="2">
        <f>F23*Navires!$E$2</f>
        <v>22560</v>
      </c>
      <c r="Z23" s="2">
        <f>G23*Navires!$F$2</f>
        <v>0</v>
      </c>
      <c r="AA23" s="2">
        <f>H23*Navires!$G$2</f>
        <v>18000</v>
      </c>
      <c r="AB23" s="2">
        <f>I23*Navires!$H$2</f>
        <v>16000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60470</v>
      </c>
      <c r="AM23" s="118" t="s">
        <v>38</v>
      </c>
      <c r="AN23" s="118">
        <f>C23*Navires!$B$6</f>
        <v>570.4</v>
      </c>
      <c r="AO23" s="118">
        <f>D23*Navires!$C$6</f>
        <v>570.4</v>
      </c>
      <c r="AP23" s="118">
        <f>E23*Navires!$D$6</f>
        <v>0</v>
      </c>
      <c r="AQ23" s="118">
        <f>F23*Navires!$E$6</f>
        <v>14736</v>
      </c>
      <c r="AR23" s="118">
        <f>G23*Navires!$F$6</f>
        <v>0</v>
      </c>
      <c r="AS23" s="118">
        <f>H23*Navires!$G$6</f>
        <v>6120</v>
      </c>
      <c r="AT23" s="118">
        <f>I23*Navires!$H$6</f>
        <v>5440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13718.4</v>
      </c>
      <c r="BE23" s="118" t="s">
        <v>38</v>
      </c>
      <c r="BF23" s="118">
        <f>C23*Navires!$B$6</f>
        <v>570.4</v>
      </c>
      <c r="BG23" s="118">
        <f>D23*Navires!$B$6</f>
        <v>570.4</v>
      </c>
      <c r="BH23" s="118">
        <f>E23*Navires!$B$6</f>
        <v>0</v>
      </c>
      <c r="BI23" s="118">
        <f>F23*Navires!$B$6</f>
        <v>6844.7999999999993</v>
      </c>
      <c r="BJ23" s="118">
        <f>G23*Navires!$B$6</f>
        <v>0</v>
      </c>
      <c r="BK23" s="118">
        <f>H23*Navires!$B$6</f>
        <v>5133.5999999999995</v>
      </c>
      <c r="BL23" s="118">
        <f>I23*Navires!$B$6</f>
        <v>4563.2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12377.679999999998</v>
      </c>
    </row>
    <row r="24" spans="1:73" x14ac:dyDescent="0.25">
      <c r="A24" t="s">
        <v>51</v>
      </c>
      <c r="B24" s="2" t="s">
        <v>39</v>
      </c>
      <c r="C24" s="2">
        <v>5</v>
      </c>
      <c r="D24" s="2">
        <v>4</v>
      </c>
      <c r="E24" s="2">
        <v>0</v>
      </c>
      <c r="F24" s="2">
        <v>4</v>
      </c>
      <c r="G24" s="2">
        <v>3</v>
      </c>
      <c r="H24" s="2">
        <v>2</v>
      </c>
      <c r="I24" s="2">
        <v>16</v>
      </c>
      <c r="J24" s="2">
        <v>0</v>
      </c>
      <c r="K24" s="2"/>
      <c r="L24" s="2"/>
      <c r="M24" s="2">
        <v>0</v>
      </c>
      <c r="N24" s="2"/>
      <c r="O24" s="2"/>
      <c r="P24" s="2"/>
      <c r="Q24" s="32"/>
      <c r="R24" s="34">
        <f t="shared" si="6"/>
        <v>34</v>
      </c>
      <c r="S24" s="82">
        <f t="shared" si="7"/>
        <v>7.9439252336448591</v>
      </c>
      <c r="U24" s="2" t="s">
        <v>39</v>
      </c>
      <c r="V24" s="2">
        <f>C24*Navires!$B$2</f>
        <v>9775</v>
      </c>
      <c r="W24" s="2">
        <f>D24*Navires!$C$2</f>
        <v>7820</v>
      </c>
      <c r="X24" s="2">
        <f>E24*Navires!$D$2</f>
        <v>0</v>
      </c>
      <c r="Y24" s="2">
        <f>F24*Navires!$E$2</f>
        <v>7520</v>
      </c>
      <c r="Z24" s="2">
        <f>G24*Navires!$F$2</f>
        <v>5688</v>
      </c>
      <c r="AA24" s="2">
        <f>H24*Navires!$G$2</f>
        <v>4000</v>
      </c>
      <c r="AB24" s="2">
        <f>I24*Navires!$H$2</f>
        <v>32000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66803</v>
      </c>
      <c r="AM24" s="118" t="s">
        <v>39</v>
      </c>
      <c r="AN24" s="118">
        <f>C24*Navires!$B$6</f>
        <v>2852</v>
      </c>
      <c r="AO24" s="118">
        <f>D24*Navires!$C$6</f>
        <v>2281.6</v>
      </c>
      <c r="AP24" s="118">
        <f>E24*Navires!$D$6</f>
        <v>0</v>
      </c>
      <c r="AQ24" s="118">
        <f>F24*Navires!$E$6</f>
        <v>4912</v>
      </c>
      <c r="AR24" s="118">
        <f>G24*Navires!$F$6</f>
        <v>2042.4</v>
      </c>
      <c r="AS24" s="118">
        <f>H24*Navires!$G$6</f>
        <v>1360</v>
      </c>
      <c r="AT24" s="118">
        <f>I24*Navires!$H$6</f>
        <v>10880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12164</v>
      </c>
      <c r="BE24" s="118" t="s">
        <v>39</v>
      </c>
      <c r="BF24" s="118">
        <f>C24*Navires!$B$6</f>
        <v>2852</v>
      </c>
      <c r="BG24" s="118">
        <f>D24*Navires!$B$6</f>
        <v>2281.6</v>
      </c>
      <c r="BH24" s="118">
        <f>E24*Navires!$B$6</f>
        <v>0</v>
      </c>
      <c r="BI24" s="118">
        <f>F24*Navires!$B$6</f>
        <v>2281.6</v>
      </c>
      <c r="BJ24" s="118">
        <f>G24*Navires!$B$6</f>
        <v>1711.1999999999998</v>
      </c>
      <c r="BK24" s="118">
        <f>H24*Navires!$B$6</f>
        <v>1140.8</v>
      </c>
      <c r="BL24" s="118">
        <f>I24*Navires!$B$6</f>
        <v>9126.4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32969.119999999995</v>
      </c>
    </row>
    <row r="25" spans="1:73" x14ac:dyDescent="0.25">
      <c r="A25" t="s">
        <v>52</v>
      </c>
      <c r="B25" s="2" t="s">
        <v>40</v>
      </c>
      <c r="C25" s="2">
        <v>0</v>
      </c>
      <c r="D25" s="2">
        <v>9</v>
      </c>
      <c r="E25" s="2">
        <v>0</v>
      </c>
      <c r="F25" s="2">
        <v>4</v>
      </c>
      <c r="G25" s="2">
        <v>3</v>
      </c>
      <c r="H25" s="2">
        <v>5</v>
      </c>
      <c r="I25" s="2">
        <v>13</v>
      </c>
      <c r="J25" s="2">
        <v>0</v>
      </c>
      <c r="K25" s="2"/>
      <c r="L25" s="2"/>
      <c r="M25" s="2">
        <v>0</v>
      </c>
      <c r="N25" s="2"/>
      <c r="O25" s="2"/>
      <c r="P25" s="2"/>
      <c r="Q25" s="32"/>
      <c r="R25" s="34">
        <f t="shared" si="6"/>
        <v>34</v>
      </c>
      <c r="S25" s="82">
        <f t="shared" si="7"/>
        <v>7.6749435665914225</v>
      </c>
      <c r="U25" s="2" t="s">
        <v>40</v>
      </c>
      <c r="V25" s="2">
        <f>C25*Navires!$B$2</f>
        <v>0</v>
      </c>
      <c r="W25" s="2">
        <f>D25*Navires!$C$2</f>
        <v>17595</v>
      </c>
      <c r="X25" s="2">
        <f>E25*Navires!$D$2</f>
        <v>0</v>
      </c>
      <c r="Y25" s="2">
        <f>F25*Navires!$E$2</f>
        <v>7520</v>
      </c>
      <c r="Z25" s="2">
        <f>G25*Navires!$F$2</f>
        <v>5688</v>
      </c>
      <c r="AA25" s="2">
        <f>H25*Navires!$G$2</f>
        <v>10000</v>
      </c>
      <c r="AB25" s="2">
        <f>I25*Navires!$H$2</f>
        <v>26000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66803</v>
      </c>
      <c r="AM25" s="118" t="s">
        <v>40</v>
      </c>
      <c r="AN25" s="118">
        <f>C25*Navires!$B$6</f>
        <v>0</v>
      </c>
      <c r="AO25" s="118">
        <f>D25*Navires!$C$6</f>
        <v>5133.5999999999995</v>
      </c>
      <c r="AP25" s="118">
        <f>E25*Navires!$D$6</f>
        <v>0</v>
      </c>
      <c r="AQ25" s="118">
        <f>F25*Navires!$E$6</f>
        <v>4912</v>
      </c>
      <c r="AR25" s="118">
        <f>G25*Navires!$F$6</f>
        <v>2042.4</v>
      </c>
      <c r="AS25" s="118">
        <f>H25*Navires!$G$6</f>
        <v>3400</v>
      </c>
      <c r="AT25" s="118">
        <f>I25*Navires!$H$6</f>
        <v>8840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7298.4</v>
      </c>
      <c r="BE25" s="118" t="s">
        <v>40</v>
      </c>
      <c r="BF25" s="118">
        <f>C25*Navires!$B$6</f>
        <v>0</v>
      </c>
      <c r="BG25" s="118">
        <f>D25*Navires!$B$6</f>
        <v>5133.5999999999995</v>
      </c>
      <c r="BH25" s="118">
        <f>E25*Navires!$B$6</f>
        <v>0</v>
      </c>
      <c r="BI25" s="118">
        <f>F25*Navires!$B$6</f>
        <v>2281.6</v>
      </c>
      <c r="BJ25" s="118">
        <f>G25*Navires!$B$6</f>
        <v>1711.1999999999998</v>
      </c>
      <c r="BK25" s="118">
        <f>H25*Navires!$B$6</f>
        <v>2852</v>
      </c>
      <c r="BL25" s="118">
        <f>I25*Navires!$B$6</f>
        <v>7415.2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32969.119999999995</v>
      </c>
    </row>
    <row r="26" spans="1:73" x14ac:dyDescent="0.25">
      <c r="A26" t="s">
        <v>53</v>
      </c>
      <c r="B26" s="2" t="s">
        <v>41</v>
      </c>
      <c r="C26" s="2">
        <v>2</v>
      </c>
      <c r="D26" s="2">
        <v>6</v>
      </c>
      <c r="E26" s="2">
        <v>0</v>
      </c>
      <c r="F26" s="2">
        <v>5</v>
      </c>
      <c r="G26" s="2">
        <v>9</v>
      </c>
      <c r="H26" s="2">
        <v>5</v>
      </c>
      <c r="I26" s="2">
        <v>8</v>
      </c>
      <c r="J26" s="2">
        <v>0</v>
      </c>
      <c r="K26" s="2"/>
      <c r="L26" s="2"/>
      <c r="M26" s="2">
        <v>0</v>
      </c>
      <c r="N26" s="2"/>
      <c r="O26" s="2"/>
      <c r="P26" s="2"/>
      <c r="Q26" s="32"/>
      <c r="R26" s="34">
        <f t="shared" si="6"/>
        <v>35</v>
      </c>
      <c r="S26" s="82">
        <f t="shared" si="7"/>
        <v>8.1775700934579429</v>
      </c>
      <c r="U26" s="2" t="s">
        <v>41</v>
      </c>
      <c r="V26" s="2">
        <f>C26*Navires!$B$2</f>
        <v>3910</v>
      </c>
      <c r="W26" s="2">
        <f>D26*Navires!$C$2</f>
        <v>11730</v>
      </c>
      <c r="X26" s="2">
        <f>E26*Navires!$D$2</f>
        <v>0</v>
      </c>
      <c r="Y26" s="2">
        <f>F26*Navires!$E$2</f>
        <v>9400</v>
      </c>
      <c r="Z26" s="2">
        <f>G26*Navires!$F$2</f>
        <v>17064</v>
      </c>
      <c r="AA26" s="2">
        <f>H26*Navires!$G$2</f>
        <v>10000</v>
      </c>
      <c r="AB26" s="2">
        <f>I26*Navires!$H$2</f>
        <v>16000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68104</v>
      </c>
      <c r="AM26" s="118" t="s">
        <v>41</v>
      </c>
      <c r="AN26" s="118">
        <f>C26*Navires!$B$6</f>
        <v>1140.8</v>
      </c>
      <c r="AO26" s="118">
        <f>D26*Navires!$C$6</f>
        <v>3422.3999999999996</v>
      </c>
      <c r="AP26" s="118">
        <f>E26*Navires!$D$6</f>
        <v>0</v>
      </c>
      <c r="AQ26" s="118">
        <f>F26*Navires!$E$6</f>
        <v>6140</v>
      </c>
      <c r="AR26" s="118">
        <f>G26*Navires!$F$6</f>
        <v>6127.2000000000007</v>
      </c>
      <c r="AS26" s="118">
        <f>H26*Navires!$G$6</f>
        <v>3400</v>
      </c>
      <c r="AT26" s="118">
        <f>I26*Navires!$H$6</f>
        <v>5440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7701.12</v>
      </c>
      <c r="BE26" s="118" t="s">
        <v>41</v>
      </c>
      <c r="BF26" s="118">
        <f>C26*Navires!$B$6</f>
        <v>1140.8</v>
      </c>
      <c r="BG26" s="118">
        <f>D26*Navires!$B$6</f>
        <v>3422.3999999999996</v>
      </c>
      <c r="BH26" s="118">
        <f>E26*Navires!$B$6</f>
        <v>0</v>
      </c>
      <c r="BI26" s="118">
        <f>F26*Navires!$B$6</f>
        <v>2852</v>
      </c>
      <c r="BJ26" s="118">
        <f>G26*Navires!$B$6</f>
        <v>5133.5999999999995</v>
      </c>
      <c r="BK26" s="118">
        <f>H26*Navires!$B$6</f>
        <v>2852</v>
      </c>
      <c r="BL26" s="118">
        <f>I26*Navires!$B$6</f>
        <v>4563.2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33938.799999999996</v>
      </c>
    </row>
    <row r="27" spans="1:73" x14ac:dyDescent="0.25">
      <c r="A27" t="s">
        <v>54</v>
      </c>
      <c r="B27" s="2" t="s">
        <v>42</v>
      </c>
      <c r="C27" s="2">
        <v>5</v>
      </c>
      <c r="D27" s="2">
        <v>4</v>
      </c>
      <c r="E27" s="2">
        <v>0</v>
      </c>
      <c r="F27" s="2">
        <v>7</v>
      </c>
      <c r="G27" s="2">
        <v>7</v>
      </c>
      <c r="H27" s="2">
        <v>9</v>
      </c>
      <c r="I27" s="2">
        <v>8</v>
      </c>
      <c r="J27" s="2">
        <v>0</v>
      </c>
      <c r="K27" s="2"/>
      <c r="L27" s="2"/>
      <c r="M27" s="2">
        <v>0</v>
      </c>
      <c r="N27" s="2"/>
      <c r="O27" s="2"/>
      <c r="P27" s="2"/>
      <c r="Q27" s="32"/>
      <c r="R27" s="34">
        <f t="shared" si="6"/>
        <v>40</v>
      </c>
      <c r="S27" s="82">
        <f t="shared" si="7"/>
        <v>9.0293453724604973</v>
      </c>
      <c r="U27" s="2" t="s">
        <v>42</v>
      </c>
      <c r="V27" s="2">
        <f>C27*Navires!$B$2</f>
        <v>9775</v>
      </c>
      <c r="W27" s="2">
        <f>D27*Navires!$C$2</f>
        <v>7820</v>
      </c>
      <c r="X27" s="2">
        <f>E27*Navires!$D$2</f>
        <v>0</v>
      </c>
      <c r="Y27" s="2">
        <f>F27*Navires!$E$2</f>
        <v>13160</v>
      </c>
      <c r="Z27" s="2">
        <f>G27*Navires!$F$2</f>
        <v>13272</v>
      </c>
      <c r="AA27" s="2">
        <f>H27*Navires!$G$2</f>
        <v>18000</v>
      </c>
      <c r="AB27" s="2">
        <f>I27*Navires!$H$2</f>
        <v>16000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78027</v>
      </c>
      <c r="AM27" s="118" t="s">
        <v>42</v>
      </c>
      <c r="AN27" s="118">
        <f>C27*Navires!$B$6</f>
        <v>2852</v>
      </c>
      <c r="AO27" s="118">
        <f>D27*Navires!$C$6</f>
        <v>2281.6</v>
      </c>
      <c r="AP27" s="118">
        <f>E27*Navires!$D$6</f>
        <v>0</v>
      </c>
      <c r="AQ27" s="118">
        <f>F27*Navires!$E$6</f>
        <v>8596</v>
      </c>
      <c r="AR27" s="118">
        <f>G27*Navires!$F$6</f>
        <v>4765.6000000000004</v>
      </c>
      <c r="AS27" s="118">
        <f>H27*Navires!$G$6</f>
        <v>6120</v>
      </c>
      <c r="AT27" s="118">
        <f>I27*Navires!$H$6</f>
        <v>5440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9016.56</v>
      </c>
      <c r="BE27" s="118" t="s">
        <v>42</v>
      </c>
      <c r="BF27" s="118">
        <f>C27*Navires!$B$6</f>
        <v>2852</v>
      </c>
      <c r="BG27" s="118">
        <f>D27*Navires!$B$6</f>
        <v>2281.6</v>
      </c>
      <c r="BH27" s="118">
        <f>E27*Navires!$B$6</f>
        <v>0</v>
      </c>
      <c r="BI27" s="118">
        <f>F27*Navires!$B$6</f>
        <v>3992.7999999999997</v>
      </c>
      <c r="BJ27" s="118">
        <f>G27*Navires!$B$6</f>
        <v>3992.7999999999997</v>
      </c>
      <c r="BK27" s="118">
        <f>H27*Navires!$B$6</f>
        <v>5133.5999999999995</v>
      </c>
      <c r="BL27" s="118">
        <f>I27*Navires!$B$6</f>
        <v>4563.2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38787.199999999997</v>
      </c>
    </row>
    <row r="28" spans="1:73" x14ac:dyDescent="0.25">
      <c r="A28" t="s">
        <v>55</v>
      </c>
      <c r="B28" s="2" t="s">
        <v>43</v>
      </c>
      <c r="C28" s="2">
        <v>9</v>
      </c>
      <c r="D28" s="2">
        <v>5</v>
      </c>
      <c r="E28" s="2">
        <v>0</v>
      </c>
      <c r="F28" s="2">
        <v>3</v>
      </c>
      <c r="G28" s="2">
        <v>12</v>
      </c>
      <c r="H28" s="2">
        <v>8</v>
      </c>
      <c r="I28" s="2">
        <v>4</v>
      </c>
      <c r="J28" s="2">
        <v>0</v>
      </c>
      <c r="K28" s="2"/>
      <c r="L28" s="2"/>
      <c r="M28" s="2">
        <v>0</v>
      </c>
      <c r="N28" s="2"/>
      <c r="O28" s="2"/>
      <c r="P28" s="2"/>
      <c r="Q28" s="32"/>
      <c r="R28" s="34">
        <f t="shared" si="6"/>
        <v>41</v>
      </c>
      <c r="S28" s="82">
        <f t="shared" si="7"/>
        <v>9.255079006772009</v>
      </c>
      <c r="U28" s="2" t="s">
        <v>43</v>
      </c>
      <c r="V28" s="2">
        <f>C28*Navires!$B$2</f>
        <v>17595</v>
      </c>
      <c r="W28" s="2">
        <f>D28*Navires!$C$2</f>
        <v>9775</v>
      </c>
      <c r="X28" s="2">
        <f>E28*Navires!$D$2</f>
        <v>0</v>
      </c>
      <c r="Y28" s="2">
        <f>F28*Navires!$E$2</f>
        <v>5640</v>
      </c>
      <c r="Z28" s="2">
        <f>G28*Navires!$F$2</f>
        <v>22752</v>
      </c>
      <c r="AA28" s="2">
        <f>H28*Navires!$G$2</f>
        <v>16000</v>
      </c>
      <c r="AB28" s="2">
        <f>I28*Navires!$H$2</f>
        <v>8000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79762</v>
      </c>
      <c r="AM28" s="118" t="s">
        <v>43</v>
      </c>
      <c r="AN28" s="118">
        <f>C28*Navires!$B$6</f>
        <v>5133.5999999999995</v>
      </c>
      <c r="AO28" s="118">
        <f>D28*Navires!$C$6</f>
        <v>2852</v>
      </c>
      <c r="AP28" s="118">
        <f>E28*Navires!$D$6</f>
        <v>0</v>
      </c>
      <c r="AQ28" s="118">
        <f>F28*Navires!$E$6</f>
        <v>3684</v>
      </c>
      <c r="AR28" s="118">
        <f>G28*Navires!$F$6</f>
        <v>8169.6</v>
      </c>
      <c r="AS28" s="118">
        <f>H28*Navires!$G$6</f>
        <v>5440</v>
      </c>
      <c r="AT28" s="118">
        <f>I28*Navires!$H$6</f>
        <v>2720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8399.7599999999984</v>
      </c>
      <c r="BE28" s="118" t="s">
        <v>43</v>
      </c>
      <c r="BF28" s="118">
        <f>C28*Navires!$B$6</f>
        <v>5133.5999999999995</v>
      </c>
      <c r="BG28" s="118">
        <f>D28*Navires!$B$6</f>
        <v>2852</v>
      </c>
      <c r="BH28" s="118">
        <f>E28*Navires!$B$6</f>
        <v>0</v>
      </c>
      <c r="BI28" s="118">
        <f>F28*Navires!$B$6</f>
        <v>1711.1999999999998</v>
      </c>
      <c r="BJ28" s="118">
        <f>G28*Navires!$B$6</f>
        <v>6844.7999999999993</v>
      </c>
      <c r="BK28" s="118">
        <f>H28*Navires!$B$6</f>
        <v>4563.2</v>
      </c>
      <c r="BL28" s="118">
        <f>I28*Navires!$B$6</f>
        <v>2281.6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39756.879999999997</v>
      </c>
    </row>
    <row r="29" spans="1:73" x14ac:dyDescent="0.25">
      <c r="A29" t="s">
        <v>56</v>
      </c>
      <c r="B29" s="2" t="s">
        <v>44</v>
      </c>
      <c r="C29" s="2">
        <v>0</v>
      </c>
      <c r="D29" s="2">
        <v>2</v>
      </c>
      <c r="E29" s="2">
        <v>0</v>
      </c>
      <c r="F29" s="2">
        <v>1</v>
      </c>
      <c r="G29" s="2">
        <v>5</v>
      </c>
      <c r="H29" s="2">
        <v>9</v>
      </c>
      <c r="I29" s="2">
        <v>8</v>
      </c>
      <c r="J29" s="2">
        <v>16</v>
      </c>
      <c r="K29" s="2"/>
      <c r="L29" s="2"/>
      <c r="M29" s="2">
        <v>0</v>
      </c>
      <c r="N29" s="2"/>
      <c r="O29" s="2"/>
      <c r="P29" s="2"/>
      <c r="Q29" s="32"/>
      <c r="R29" s="34">
        <f t="shared" si="6"/>
        <v>41</v>
      </c>
      <c r="S29" s="82">
        <f t="shared" si="7"/>
        <v>9.5794392523364476</v>
      </c>
      <c r="U29" s="2" t="s">
        <v>44</v>
      </c>
      <c r="V29" s="2">
        <f>C29*Navires!$B$2</f>
        <v>0</v>
      </c>
      <c r="W29" s="2">
        <f>D29*Navires!$C$2</f>
        <v>3910</v>
      </c>
      <c r="X29" s="2">
        <f>E29*Navires!$D$2</f>
        <v>0</v>
      </c>
      <c r="Y29" s="2">
        <f>F29*Navires!$E$2</f>
        <v>1880</v>
      </c>
      <c r="Z29" s="2">
        <f>G29*Navires!$F$2</f>
        <v>9480</v>
      </c>
      <c r="AA29" s="2">
        <f>H29*Navires!$G$2</f>
        <v>18000</v>
      </c>
      <c r="AB29" s="2">
        <f>I29*Navires!$H$2</f>
        <v>16000</v>
      </c>
      <c r="AC29" s="2">
        <f>J29*Navires!$I$2</f>
        <v>32000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81270</v>
      </c>
      <c r="AM29" s="118" t="s">
        <v>44</v>
      </c>
      <c r="AN29" s="118">
        <f>C29*Navires!$B$6</f>
        <v>0</v>
      </c>
      <c r="AO29" s="118">
        <f>D29*Navires!$C$6</f>
        <v>1140.8</v>
      </c>
      <c r="AP29" s="118">
        <f>E29*Navires!$D$6</f>
        <v>0</v>
      </c>
      <c r="AQ29" s="118">
        <f>F29*Navires!$E$6</f>
        <v>1228</v>
      </c>
      <c r="AR29" s="118">
        <f>G29*Navires!$F$6</f>
        <v>3404.0000000000005</v>
      </c>
      <c r="AS29" s="118">
        <f>H29*Navires!$G$6</f>
        <v>6120</v>
      </c>
      <c r="AT29" s="118">
        <f>I29*Navires!$H$6</f>
        <v>5440</v>
      </c>
      <c r="AU29" s="118">
        <f>J29*Navires!$I$6</f>
        <v>24972.800000000003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12691.680000000002</v>
      </c>
      <c r="BE29" s="118" t="s">
        <v>44</v>
      </c>
      <c r="BF29" s="118">
        <f>C29*Navires!$B$6</f>
        <v>0</v>
      </c>
      <c r="BG29" s="118">
        <f>D29*Navires!$B$6</f>
        <v>1140.8</v>
      </c>
      <c r="BH29" s="118">
        <f>E29*Navires!$B$6</f>
        <v>0</v>
      </c>
      <c r="BI29" s="118">
        <f>F29*Navires!$B$6</f>
        <v>570.4</v>
      </c>
      <c r="BJ29" s="118">
        <f>G29*Navires!$B$6</f>
        <v>2852</v>
      </c>
      <c r="BK29" s="118">
        <f>H29*Navires!$B$6</f>
        <v>5133.5999999999995</v>
      </c>
      <c r="BL29" s="118">
        <f>I29*Navires!$B$6</f>
        <v>4563.2</v>
      </c>
      <c r="BM29" s="118">
        <f>J29*Navires!$B$6</f>
        <v>9126.4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39756.880000000005</v>
      </c>
    </row>
    <row r="30" spans="1:73" x14ac:dyDescent="0.25">
      <c r="A30" t="s">
        <v>57</v>
      </c>
      <c r="B30" s="2" t="s">
        <v>45</v>
      </c>
      <c r="C30" s="2">
        <v>1</v>
      </c>
      <c r="D30" s="2">
        <v>1</v>
      </c>
      <c r="E30" s="2">
        <v>0</v>
      </c>
      <c r="F30" s="2">
        <v>0</v>
      </c>
      <c r="G30" s="2">
        <v>1</v>
      </c>
      <c r="H30" s="2">
        <v>11</v>
      </c>
      <c r="I30" s="2">
        <v>10</v>
      </c>
      <c r="J30" s="2">
        <v>13</v>
      </c>
      <c r="K30" s="2"/>
      <c r="L30" s="2"/>
      <c r="M30" s="2">
        <v>0</v>
      </c>
      <c r="N30" s="2"/>
      <c r="O30" s="2"/>
      <c r="P30" s="2"/>
      <c r="Q30" s="32"/>
      <c r="R30" s="34">
        <f t="shared" si="6"/>
        <v>37</v>
      </c>
      <c r="S30" s="82">
        <f t="shared" si="7"/>
        <v>8.3521444695259603</v>
      </c>
      <c r="U30" s="2" t="s">
        <v>45</v>
      </c>
      <c r="V30" s="2">
        <f>C30*Navires!$B$2</f>
        <v>1955</v>
      </c>
      <c r="W30" s="2">
        <f>D30*Navires!$C$2</f>
        <v>1955</v>
      </c>
      <c r="X30" s="2">
        <f>E30*Navires!$D$2</f>
        <v>0</v>
      </c>
      <c r="Y30" s="2">
        <f>F30*Navires!$E$2</f>
        <v>0</v>
      </c>
      <c r="Z30" s="2">
        <f>G30*Navires!$F$2</f>
        <v>1896</v>
      </c>
      <c r="AA30" s="2">
        <f>H30*Navires!$G$2</f>
        <v>22000</v>
      </c>
      <c r="AB30" s="2">
        <f>I30*Navires!$H$2</f>
        <v>20000</v>
      </c>
      <c r="AC30" s="2">
        <f>J30*Navires!$I$2</f>
        <v>26000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73806</v>
      </c>
      <c r="AM30" s="118" t="s">
        <v>45</v>
      </c>
      <c r="AN30" s="118">
        <f>C30*Navires!$B$6</f>
        <v>570.4</v>
      </c>
      <c r="AO30" s="118">
        <f>D30*Navires!$C$6</f>
        <v>570.4</v>
      </c>
      <c r="AP30" s="118">
        <f>E30*Navires!$D$6</f>
        <v>0</v>
      </c>
      <c r="AQ30" s="118">
        <f>F30*Navires!$E$6</f>
        <v>0</v>
      </c>
      <c r="AR30" s="118">
        <f>G30*Navires!$F$6</f>
        <v>680.80000000000007</v>
      </c>
      <c r="AS30" s="118">
        <f>H30*Navires!$G$6</f>
        <v>7480</v>
      </c>
      <c r="AT30" s="118">
        <f>I30*Navires!$H$6</f>
        <v>6800</v>
      </c>
      <c r="AU30" s="118">
        <f>J30*Navires!$I$6</f>
        <v>20290.400000000001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18196</v>
      </c>
      <c r="BE30" s="118" t="s">
        <v>45</v>
      </c>
      <c r="BF30" s="118">
        <f>C30*Navires!$B$6</f>
        <v>570.4</v>
      </c>
      <c r="BG30" s="118">
        <f>D30*Navires!$B$6</f>
        <v>570.4</v>
      </c>
      <c r="BH30" s="118">
        <f>E30*Navires!$B$6</f>
        <v>0</v>
      </c>
      <c r="BI30" s="118">
        <f>F30*Navires!$B$6</f>
        <v>0</v>
      </c>
      <c r="BJ30" s="118">
        <f>G30*Navires!$B$6</f>
        <v>570.4</v>
      </c>
      <c r="BK30" s="118">
        <f>H30*Navires!$B$6</f>
        <v>6274.4</v>
      </c>
      <c r="BL30" s="118">
        <f>I30*Navires!$B$6</f>
        <v>5704</v>
      </c>
      <c r="BM30" s="118">
        <f>J30*Navires!$B$6</f>
        <v>7415.2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35878.159999999996</v>
      </c>
    </row>
    <row r="31" spans="1:73" x14ac:dyDescent="0.25">
      <c r="A31" t="s">
        <v>58</v>
      </c>
      <c r="B31" s="2" t="s">
        <v>46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/>
      <c r="L31" s="2"/>
      <c r="M31" s="2">
        <v>0</v>
      </c>
      <c r="N31" s="2"/>
      <c r="O31" s="2"/>
      <c r="P31" s="2"/>
      <c r="Q31" s="32"/>
      <c r="R31" s="34">
        <f t="shared" si="6"/>
        <v>0</v>
      </c>
      <c r="S31" s="82">
        <f t="shared" si="7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/>
      <c r="L32" s="2"/>
      <c r="M32" s="2">
        <v>0</v>
      </c>
      <c r="N32" s="2"/>
      <c r="O32" s="2"/>
      <c r="P32" s="2"/>
      <c r="Q32" s="32"/>
      <c r="R32" s="34">
        <f t="shared" si="6"/>
        <v>0</v>
      </c>
      <c r="S32" s="82">
        <f t="shared" si="7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25</v>
      </c>
      <c r="D33" s="34">
        <f t="shared" ref="D33:E33" si="8">SUM(D21:D32)</f>
        <v>38</v>
      </c>
      <c r="E33" s="34">
        <f t="shared" si="8"/>
        <v>0</v>
      </c>
      <c r="F33" s="34">
        <f>SUM(F21:F32)</f>
        <v>36</v>
      </c>
      <c r="G33" s="34">
        <f>SUM(G21:G32)</f>
        <v>58</v>
      </c>
      <c r="H33" s="34">
        <f t="shared" ref="H33:Q33" si="9">SUM(H21:H32)</f>
        <v>86</v>
      </c>
      <c r="I33" s="34">
        <f t="shared" si="9"/>
        <v>80</v>
      </c>
      <c r="J33" s="34">
        <f t="shared" si="9"/>
        <v>29</v>
      </c>
      <c r="K33" s="34">
        <f t="shared" si="9"/>
        <v>0</v>
      </c>
      <c r="L33" s="34">
        <f t="shared" si="9"/>
        <v>0</v>
      </c>
      <c r="M33" s="34">
        <f t="shared" si="9"/>
        <v>1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353</v>
      </c>
      <c r="S33" s="82">
        <f t="shared" si="7"/>
        <v>6.771532706694801</v>
      </c>
      <c r="U33" s="34" t="s">
        <v>60</v>
      </c>
      <c r="V33" s="34">
        <f>SUM(V21:V32)</f>
        <v>48875</v>
      </c>
      <c r="W33" s="34">
        <f t="shared" ref="W33:AJ33" si="10">SUM(W21:W32)</f>
        <v>74290</v>
      </c>
      <c r="X33" s="34">
        <f t="shared" si="10"/>
        <v>0</v>
      </c>
      <c r="Y33" s="34">
        <f t="shared" si="10"/>
        <v>67680</v>
      </c>
      <c r="Z33" s="34">
        <f t="shared" si="10"/>
        <v>109968</v>
      </c>
      <c r="AA33" s="34">
        <f t="shared" si="10"/>
        <v>172000</v>
      </c>
      <c r="AB33" s="34">
        <f t="shared" si="10"/>
        <v>160000</v>
      </c>
      <c r="AC33" s="34">
        <f t="shared" si="10"/>
        <v>58000</v>
      </c>
      <c r="AD33" s="34">
        <f t="shared" si="10"/>
        <v>0</v>
      </c>
      <c r="AE33" s="34">
        <f t="shared" si="10"/>
        <v>0</v>
      </c>
      <c r="AF33" s="34">
        <f t="shared" si="10"/>
        <v>1790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14259.999999999998</v>
      </c>
      <c r="AO33" s="34">
        <f t="shared" ref="AO33:BB33" si="11">SUM(AO21:AO32)</f>
        <v>21675.200000000001</v>
      </c>
      <c r="AP33" s="34">
        <f t="shared" si="11"/>
        <v>0</v>
      </c>
      <c r="AQ33" s="34">
        <f t="shared" si="11"/>
        <v>44208</v>
      </c>
      <c r="AR33" s="34">
        <f t="shared" si="11"/>
        <v>39486.400000000001</v>
      </c>
      <c r="AS33" s="34">
        <f t="shared" si="11"/>
        <v>58480</v>
      </c>
      <c r="AT33" s="34">
        <f t="shared" si="11"/>
        <v>54400</v>
      </c>
      <c r="AU33" s="34">
        <f t="shared" si="11"/>
        <v>45263.200000000004</v>
      </c>
      <c r="AV33" s="34">
        <f t="shared" si="11"/>
        <v>0</v>
      </c>
      <c r="AW33" s="34">
        <f t="shared" si="11"/>
        <v>0</v>
      </c>
      <c r="AX33" s="34">
        <f t="shared" si="11"/>
        <v>680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14260</v>
      </c>
      <c r="BG33" s="118">
        <f>D33*Navires!$B$6</f>
        <v>21675.200000000001</v>
      </c>
      <c r="BH33" s="118">
        <f>E33*Navires!$B$6</f>
        <v>0</v>
      </c>
      <c r="BI33" s="118">
        <f>F33*Navires!$B$6</f>
        <v>20534.399999999998</v>
      </c>
      <c r="BJ33" s="118">
        <f>G33*Navires!$B$6</f>
        <v>33083.199999999997</v>
      </c>
      <c r="BK33" s="118">
        <f>H33*Navires!$B$6</f>
        <v>49054.400000000001</v>
      </c>
      <c r="BL33" s="118">
        <f>I33*Navires!$B$6</f>
        <v>45632</v>
      </c>
      <c r="BM33" s="118">
        <f>J33*Navires!$B$6</f>
        <v>16541.599999999999</v>
      </c>
      <c r="BN33" s="118">
        <f>K33*Navires!$B$6</f>
        <v>0</v>
      </c>
      <c r="BO33" s="118">
        <f>L33*Navires!$B$6</f>
        <v>0</v>
      </c>
      <c r="BP33" s="118">
        <f>M33*Navires!$B$6</f>
        <v>570.4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  <row r="49" spans="1:37" s="117" customFormat="1" x14ac:dyDescent="0.25">
      <c r="B49" s="117" t="s">
        <v>155</v>
      </c>
    </row>
    <row r="50" spans="1:37" s="117" customFormat="1" ht="23.25" customHeight="1" x14ac:dyDescent="0.25">
      <c r="C50" s="215" t="s">
        <v>61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V50" s="215" t="s">
        <v>62</v>
      </c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7"/>
    </row>
    <row r="51" spans="1:37" s="117" customFormat="1" ht="23.25" customHeight="1" x14ac:dyDescent="0.25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8"/>
    </row>
    <row r="52" spans="1:37" s="117" customFormat="1" ht="45" x14ac:dyDescent="0.25">
      <c r="C52" s="24" t="s">
        <v>21</v>
      </c>
      <c r="D52" s="24" t="s">
        <v>22</v>
      </c>
      <c r="E52" s="23" t="s">
        <v>23</v>
      </c>
      <c r="F52" s="24" t="s">
        <v>24</v>
      </c>
      <c r="G52" s="24" t="s">
        <v>25</v>
      </c>
      <c r="H52" s="24" t="s">
        <v>26</v>
      </c>
      <c r="I52" s="25" t="s">
        <v>30</v>
      </c>
      <c r="J52" s="25" t="s">
        <v>33</v>
      </c>
      <c r="K52" s="25" t="s">
        <v>65</v>
      </c>
      <c r="L52" s="25" t="s">
        <v>31</v>
      </c>
      <c r="M52" s="25" t="s">
        <v>32</v>
      </c>
      <c r="N52" s="25" t="s">
        <v>29</v>
      </c>
      <c r="O52" s="25" t="s">
        <v>28</v>
      </c>
      <c r="P52" s="24" t="s">
        <v>27</v>
      </c>
      <c r="Q52" s="31" t="s">
        <v>34</v>
      </c>
      <c r="R52" s="33" t="s">
        <v>60</v>
      </c>
      <c r="S52" s="87"/>
      <c r="V52" s="24" t="s">
        <v>21</v>
      </c>
      <c r="W52" s="24" t="s">
        <v>22</v>
      </c>
      <c r="X52" s="24" t="s">
        <v>23</v>
      </c>
      <c r="Y52" s="24" t="s">
        <v>24</v>
      </c>
      <c r="Z52" s="24" t="s">
        <v>25</v>
      </c>
      <c r="AA52" s="24" t="s">
        <v>26</v>
      </c>
      <c r="AB52" s="25" t="s">
        <v>30</v>
      </c>
      <c r="AC52" s="25" t="s">
        <v>33</v>
      </c>
      <c r="AD52" s="25" t="s">
        <v>26</v>
      </c>
      <c r="AE52" s="25" t="s">
        <v>31</v>
      </c>
      <c r="AF52" s="25" t="s">
        <v>32</v>
      </c>
      <c r="AG52" s="25" t="s">
        <v>29</v>
      </c>
      <c r="AH52" s="25" t="s">
        <v>28</v>
      </c>
      <c r="AI52" s="24" t="s">
        <v>27</v>
      </c>
      <c r="AJ52" s="25" t="s">
        <v>34</v>
      </c>
      <c r="AK52" s="33" t="s">
        <v>60</v>
      </c>
    </row>
    <row r="53" spans="1:37" s="117" customFormat="1" x14ac:dyDescent="0.25">
      <c r="A53" s="117">
        <v>6</v>
      </c>
      <c r="B53" s="118" t="s">
        <v>147</v>
      </c>
      <c r="C53" s="118"/>
      <c r="D53" s="118"/>
      <c r="F53" s="118"/>
      <c r="G53" s="118"/>
      <c r="H53" s="118">
        <v>1</v>
      </c>
      <c r="I53" s="118"/>
      <c r="J53" s="118"/>
      <c r="K53" s="118"/>
      <c r="L53" s="118"/>
      <c r="M53" s="118"/>
      <c r="N53" s="118"/>
      <c r="O53" s="118"/>
      <c r="P53" s="118"/>
      <c r="Q53" s="32"/>
      <c r="R53" s="34">
        <f t="shared" ref="R53:R58" si="12">SUM(C53:Q53)</f>
        <v>1</v>
      </c>
      <c r="S53" s="135"/>
      <c r="U53" s="118" t="s">
        <v>147</v>
      </c>
      <c r="V53" s="118">
        <f>C53*Navires!$B$2</f>
        <v>0</v>
      </c>
      <c r="W53" s="118">
        <f>D53*Navires!$C$2</f>
        <v>0</v>
      </c>
      <c r="X53" s="118">
        <f>E53*Navires!$D$2</f>
        <v>0</v>
      </c>
      <c r="Y53" s="118">
        <f>F53*Navires!$E$2</f>
        <v>0</v>
      </c>
      <c r="Z53" s="118">
        <f>G53*Navires!$F$2</f>
        <v>0</v>
      </c>
      <c r="AA53" s="118">
        <f>H53*Navires!$G$2</f>
        <v>2000</v>
      </c>
      <c r="AB53" s="118">
        <f>I53*Navires!$H$2</f>
        <v>0</v>
      </c>
      <c r="AC53" s="118">
        <f>J53*Navires!$I$2</f>
        <v>0</v>
      </c>
      <c r="AD53" s="118">
        <f>K53*Navires!$J$2</f>
        <v>0</v>
      </c>
      <c r="AE53" s="118">
        <f>L53*Navires!$K$2</f>
        <v>0</v>
      </c>
      <c r="AF53" s="118">
        <f>M53*Navires!$L$2</f>
        <v>0</v>
      </c>
      <c r="AG53" s="118">
        <f>N53*Navires!$M$2</f>
        <v>0</v>
      </c>
      <c r="AH53" s="118">
        <f>O53*Navires!$N$2</f>
        <v>0</v>
      </c>
      <c r="AI53" s="118">
        <f>P53*Navires!$O$2</f>
        <v>0</v>
      </c>
      <c r="AJ53" s="118">
        <f>Q53*Navires!$P$2</f>
        <v>0</v>
      </c>
      <c r="AK53" s="35">
        <f>(SUM(V53:AJ53))*Générale!$B$8</f>
        <v>2000</v>
      </c>
    </row>
    <row r="54" spans="1:37" s="117" customFormat="1" x14ac:dyDescent="0.25">
      <c r="A54" s="117">
        <v>7</v>
      </c>
      <c r="B54" s="118" t="s">
        <v>148</v>
      </c>
      <c r="C54" s="118"/>
      <c r="D54" s="118"/>
      <c r="E54" s="118"/>
      <c r="F54" s="118"/>
      <c r="G54" s="118"/>
      <c r="H54" s="118"/>
      <c r="I54" s="118">
        <v>1</v>
      </c>
      <c r="J54" s="118"/>
      <c r="K54" s="118"/>
      <c r="L54" s="118"/>
      <c r="M54" s="118"/>
      <c r="N54" s="118"/>
      <c r="O54" s="118"/>
      <c r="P54" s="118"/>
      <c r="Q54" s="32"/>
      <c r="R54" s="34">
        <f t="shared" si="12"/>
        <v>1</v>
      </c>
      <c r="S54" s="135"/>
      <c r="U54" s="118" t="s">
        <v>148</v>
      </c>
      <c r="V54" s="118">
        <f>C54*Navires!$B$2</f>
        <v>0</v>
      </c>
      <c r="W54" s="118">
        <f>D54*Navires!$C$2</f>
        <v>0</v>
      </c>
      <c r="X54" s="118">
        <f>E54*Navires!$D$2</f>
        <v>0</v>
      </c>
      <c r="Y54" s="118">
        <f>F54*Navires!$E$2</f>
        <v>0</v>
      </c>
      <c r="Z54" s="118">
        <f>G54*Navires!$F$2</f>
        <v>0</v>
      </c>
      <c r="AA54" s="118">
        <f>H54*Navires!$G$2</f>
        <v>0</v>
      </c>
      <c r="AB54" s="118">
        <f>I54*Navires!$H$2</f>
        <v>2000</v>
      </c>
      <c r="AC54" s="118">
        <f>J54*Navires!$I$2</f>
        <v>0</v>
      </c>
      <c r="AD54" s="118">
        <f>K54*Navires!$J$2</f>
        <v>0</v>
      </c>
      <c r="AE54" s="118">
        <f>L54*Navires!$K$2</f>
        <v>0</v>
      </c>
      <c r="AF54" s="118">
        <f>M54*Navires!$L$2</f>
        <v>0</v>
      </c>
      <c r="AG54" s="118">
        <f>N54*Navires!$M$2</f>
        <v>0</v>
      </c>
      <c r="AH54" s="118">
        <f>O54*Navires!$N$2</f>
        <v>0</v>
      </c>
      <c r="AI54" s="118">
        <f>P54*Navires!$O$2</f>
        <v>0</v>
      </c>
      <c r="AJ54" s="118">
        <f>Q54*Navires!$P$2</f>
        <v>0</v>
      </c>
      <c r="AK54" s="35">
        <f>(SUM(V54:AJ54))*Générale!$B$8</f>
        <v>2000</v>
      </c>
    </row>
    <row r="55" spans="1:37" s="117" customFormat="1" x14ac:dyDescent="0.25">
      <c r="A55" s="117">
        <v>8</v>
      </c>
      <c r="B55" s="118" t="s">
        <v>149</v>
      </c>
      <c r="C55" s="118"/>
      <c r="D55" s="118"/>
      <c r="E55" s="118"/>
      <c r="F55" s="118"/>
      <c r="G55" s="118"/>
      <c r="H55" s="118">
        <v>1</v>
      </c>
      <c r="I55" s="118"/>
      <c r="J55" s="118"/>
      <c r="K55" s="118"/>
      <c r="L55" s="118"/>
      <c r="M55" s="118"/>
      <c r="N55" s="118"/>
      <c r="O55" s="118"/>
      <c r="P55" s="118"/>
      <c r="Q55" s="32"/>
      <c r="R55" s="34">
        <f t="shared" si="12"/>
        <v>1</v>
      </c>
      <c r="S55" s="135"/>
      <c r="U55" s="118" t="s">
        <v>149</v>
      </c>
      <c r="V55" s="118">
        <f>C55*Navires!$B$2</f>
        <v>0</v>
      </c>
      <c r="W55" s="118">
        <f>D55*Navires!$C$2</f>
        <v>0</v>
      </c>
      <c r="X55" s="118">
        <f>E55*Navires!$D$2</f>
        <v>0</v>
      </c>
      <c r="Y55" s="118">
        <f>F55*Navires!$E$2</f>
        <v>0</v>
      </c>
      <c r="Z55" s="118">
        <f>G55*Navires!$F$2</f>
        <v>0</v>
      </c>
      <c r="AA55" s="118">
        <f>H55*Navires!$G$2</f>
        <v>2000</v>
      </c>
      <c r="AB55" s="118">
        <f>I55*Navires!$H$2</f>
        <v>0</v>
      </c>
      <c r="AC55" s="118">
        <f>J55*Navires!$I$2</f>
        <v>0</v>
      </c>
      <c r="AD55" s="118">
        <f>K55*Navires!$J$2</f>
        <v>0</v>
      </c>
      <c r="AE55" s="118">
        <f>L55*Navires!$K$2</f>
        <v>0</v>
      </c>
      <c r="AF55" s="118">
        <f>M55*Navires!$L$2</f>
        <v>0</v>
      </c>
      <c r="AG55" s="118">
        <f>N55*Navires!$M$2</f>
        <v>0</v>
      </c>
      <c r="AH55" s="118">
        <f>O55*Navires!$N$2</f>
        <v>0</v>
      </c>
      <c r="AI55" s="118">
        <f>P55*Navires!$O$2</f>
        <v>0</v>
      </c>
      <c r="AJ55" s="118">
        <f>Q55*Navires!$P$2</f>
        <v>0</v>
      </c>
      <c r="AK55" s="35">
        <f>(SUM(V55:AJ55))*Générale!$B$8</f>
        <v>2000</v>
      </c>
    </row>
    <row r="56" spans="1:37" s="117" customFormat="1" x14ac:dyDescent="0.25">
      <c r="A56" s="117">
        <v>9</v>
      </c>
      <c r="B56" s="118" t="s">
        <v>150</v>
      </c>
      <c r="C56" s="118"/>
      <c r="D56" s="118"/>
      <c r="E56" s="118"/>
      <c r="F56" s="118"/>
      <c r="G56" s="118">
        <v>1</v>
      </c>
      <c r="H56" s="118"/>
      <c r="I56" s="118"/>
      <c r="J56" s="118"/>
      <c r="K56" s="118"/>
      <c r="L56" s="118"/>
      <c r="M56" s="118"/>
      <c r="N56" s="118"/>
      <c r="O56" s="118"/>
      <c r="P56" s="118"/>
      <c r="Q56" s="32"/>
      <c r="R56" s="34">
        <f t="shared" si="12"/>
        <v>1</v>
      </c>
      <c r="S56" s="135"/>
      <c r="U56" s="118" t="s">
        <v>150</v>
      </c>
      <c r="V56" s="118">
        <f>C56*Navires!$B$2</f>
        <v>0</v>
      </c>
      <c r="W56" s="118">
        <f>D56*Navires!$C$2</f>
        <v>0</v>
      </c>
      <c r="X56" s="118">
        <f>E56*Navires!$D$2</f>
        <v>0</v>
      </c>
      <c r="Y56" s="118">
        <f>F56*Navires!$E$2</f>
        <v>0</v>
      </c>
      <c r="Z56" s="118">
        <f>G56*Navires!$F$2</f>
        <v>1896</v>
      </c>
      <c r="AA56" s="118">
        <f>H56*Navires!$G$2</f>
        <v>0</v>
      </c>
      <c r="AB56" s="118">
        <f>I56*Navires!$H$2</f>
        <v>0</v>
      </c>
      <c r="AC56" s="118">
        <f>J56*Navires!$I$2</f>
        <v>0</v>
      </c>
      <c r="AD56" s="118">
        <f>K56*Navires!$J$2</f>
        <v>0</v>
      </c>
      <c r="AE56" s="118">
        <f>L56*Navires!$K$2</f>
        <v>0</v>
      </c>
      <c r="AF56" s="118">
        <f>M56*Navires!$L$2</f>
        <v>0</v>
      </c>
      <c r="AG56" s="118">
        <f>N56*Navires!$M$2</f>
        <v>0</v>
      </c>
      <c r="AH56" s="118">
        <f>O56*Navires!$N$2</f>
        <v>0</v>
      </c>
      <c r="AI56" s="118">
        <f>P56*Navires!$O$2</f>
        <v>0</v>
      </c>
      <c r="AJ56" s="118">
        <f>Q56*Navires!$P$2</f>
        <v>0</v>
      </c>
      <c r="AK56" s="35">
        <f>(SUM(V56:AJ56))*Générale!$B$8</f>
        <v>1896</v>
      </c>
    </row>
    <row r="57" spans="1:37" s="117" customFormat="1" x14ac:dyDescent="0.25">
      <c r="A57" s="117">
        <v>10</v>
      </c>
      <c r="B57" s="118" t="s">
        <v>151</v>
      </c>
      <c r="C57" s="118"/>
      <c r="D57" s="118"/>
      <c r="E57" s="118"/>
      <c r="F57" s="118"/>
      <c r="G57" s="118"/>
      <c r="H57" s="118">
        <v>1</v>
      </c>
      <c r="I57" s="118"/>
      <c r="J57" s="118"/>
      <c r="K57" s="118"/>
      <c r="L57" s="118"/>
      <c r="M57" s="118"/>
      <c r="N57" s="118"/>
      <c r="O57" s="118"/>
      <c r="P57" s="118"/>
      <c r="Q57" s="32"/>
      <c r="R57" s="34">
        <f t="shared" si="12"/>
        <v>1</v>
      </c>
      <c r="S57" s="135"/>
      <c r="U57" s="118" t="s">
        <v>151</v>
      </c>
      <c r="V57" s="118">
        <f>C57*Navires!$B$2</f>
        <v>0</v>
      </c>
      <c r="W57" s="118">
        <f>D57*Navires!$C$2</f>
        <v>0</v>
      </c>
      <c r="X57" s="118">
        <f>E57*Navires!$D$2</f>
        <v>0</v>
      </c>
      <c r="Y57" s="118">
        <f>F57*Navires!$E$2</f>
        <v>0</v>
      </c>
      <c r="Z57" s="118">
        <f>G57*Navires!$F$2</f>
        <v>0</v>
      </c>
      <c r="AA57" s="118">
        <f>H57*Navires!$G$2</f>
        <v>2000</v>
      </c>
      <c r="AB57" s="118">
        <f>I57*Navires!$H$2</f>
        <v>0</v>
      </c>
      <c r="AC57" s="118">
        <f>J57*Navires!$I$2</f>
        <v>0</v>
      </c>
      <c r="AD57" s="118">
        <f>K57*Navires!$J$2</f>
        <v>0</v>
      </c>
      <c r="AE57" s="118">
        <f>L57*Navires!$K$2</f>
        <v>0</v>
      </c>
      <c r="AF57" s="118">
        <f>M57*Navires!$L$2</f>
        <v>0</v>
      </c>
      <c r="AG57" s="118">
        <f>N57*Navires!$M$2</f>
        <v>0</v>
      </c>
      <c r="AH57" s="118">
        <f>O57*Navires!$N$2</f>
        <v>0</v>
      </c>
      <c r="AI57" s="118">
        <f>P57*Navires!$O$2</f>
        <v>0</v>
      </c>
      <c r="AJ57" s="118">
        <f>Q57*Navires!$P$2</f>
        <v>0</v>
      </c>
      <c r="AK57" s="35">
        <f>(SUM(V57:AJ57))*Générale!$B$8</f>
        <v>2000</v>
      </c>
    </row>
    <row r="58" spans="1:37" s="117" customFormat="1" x14ac:dyDescent="0.25">
      <c r="A58" s="117">
        <v>11</v>
      </c>
      <c r="B58" s="118" t="s">
        <v>152</v>
      </c>
      <c r="C58" s="118"/>
      <c r="D58" s="118"/>
      <c r="E58" s="118"/>
      <c r="F58" s="118"/>
      <c r="G58" s="118">
        <v>1</v>
      </c>
      <c r="H58" s="118"/>
      <c r="I58" s="118"/>
      <c r="J58" s="118"/>
      <c r="K58" s="118"/>
      <c r="L58" s="118"/>
      <c r="M58" s="118"/>
      <c r="N58" s="118"/>
      <c r="O58" s="118"/>
      <c r="P58" s="118"/>
      <c r="Q58" s="32"/>
      <c r="R58" s="34">
        <f t="shared" si="12"/>
        <v>1</v>
      </c>
      <c r="S58" s="135"/>
      <c r="U58" s="118" t="s">
        <v>152</v>
      </c>
      <c r="V58" s="118">
        <f>C58*Navires!$B$2</f>
        <v>0</v>
      </c>
      <c r="W58" s="118">
        <f>D58*Navires!$C$2</f>
        <v>0</v>
      </c>
      <c r="X58" s="118">
        <f>E58*Navires!$D$2</f>
        <v>0</v>
      </c>
      <c r="Y58" s="118">
        <f>F58*Navires!$E$2</f>
        <v>0</v>
      </c>
      <c r="Z58" s="118">
        <f>G58*Navires!$F$2</f>
        <v>1896</v>
      </c>
      <c r="AA58" s="118">
        <f>H58*Navires!$G$2</f>
        <v>0</v>
      </c>
      <c r="AB58" s="118">
        <f>I58*Navires!$H$2</f>
        <v>0</v>
      </c>
      <c r="AC58" s="118">
        <f>J58*Navires!$I$2</f>
        <v>0</v>
      </c>
      <c r="AD58" s="118">
        <f>K58*Navires!$J$2</f>
        <v>0</v>
      </c>
      <c r="AE58" s="118">
        <f>L58*Navires!$K$2</f>
        <v>0</v>
      </c>
      <c r="AF58" s="118">
        <f>M58*Navires!$L$2</f>
        <v>0</v>
      </c>
      <c r="AG58" s="118">
        <f>N58*Navires!$M$2</f>
        <v>0</v>
      </c>
      <c r="AH58" s="118">
        <f>O58*Navires!$N$2</f>
        <v>0</v>
      </c>
      <c r="AI58" s="118">
        <f>P58*Navires!$O$2</f>
        <v>0</v>
      </c>
      <c r="AJ58" s="118">
        <f>Q58*Navires!$P$2</f>
        <v>0</v>
      </c>
      <c r="AK58" s="35">
        <f>(SUM(V58:AJ58))*Générale!$B$8</f>
        <v>1896</v>
      </c>
    </row>
    <row r="59" spans="1:37" s="117" customFormat="1" ht="15" customHeight="1" x14ac:dyDescent="0.25">
      <c r="A59" s="117">
        <v>12</v>
      </c>
      <c r="B59" s="118" t="s">
        <v>146</v>
      </c>
      <c r="C59" s="118"/>
      <c r="D59" s="118"/>
      <c r="E59" s="118"/>
      <c r="F59" s="118"/>
      <c r="G59" s="118"/>
      <c r="H59" s="118">
        <v>1</v>
      </c>
      <c r="I59" s="118"/>
      <c r="J59" s="118"/>
      <c r="K59" s="118"/>
      <c r="L59" s="118"/>
      <c r="M59" s="118"/>
      <c r="N59" s="118"/>
      <c r="O59" s="118"/>
      <c r="P59" s="118"/>
      <c r="Q59" s="32"/>
      <c r="R59" s="34">
        <f>SUM(C59:Q59)</f>
        <v>1</v>
      </c>
      <c r="S59" s="135"/>
      <c r="U59" s="118" t="s">
        <v>146</v>
      </c>
      <c r="V59" s="118">
        <f>C59*Navires!$B$2</f>
        <v>0</v>
      </c>
      <c r="W59" s="118">
        <f>D59*Navires!$C$2</f>
        <v>0</v>
      </c>
      <c r="X59" s="118">
        <f>E59*Navires!$D$2</f>
        <v>0</v>
      </c>
      <c r="Y59" s="118">
        <f>F59*Navires!$E$2</f>
        <v>0</v>
      </c>
      <c r="Z59" s="118">
        <f>G59*Navires!$F$2</f>
        <v>0</v>
      </c>
      <c r="AA59" s="118">
        <f>H59*Navires!$G$2</f>
        <v>2000</v>
      </c>
      <c r="AB59" s="118">
        <f>I59*Navires!$H$2</f>
        <v>0</v>
      </c>
      <c r="AC59" s="118">
        <f>J59*Navires!$I$2</f>
        <v>0</v>
      </c>
      <c r="AD59" s="118">
        <f>K59*Navires!$J$2</f>
        <v>0</v>
      </c>
      <c r="AE59" s="118">
        <f>L59*Navires!$K$2</f>
        <v>0</v>
      </c>
      <c r="AF59" s="118">
        <f>M59*Navires!$L$2</f>
        <v>0</v>
      </c>
      <c r="AG59" s="118">
        <f>N59*Navires!$M$2</f>
        <v>0</v>
      </c>
      <c r="AH59" s="118">
        <f>O59*Navires!$N$2</f>
        <v>0</v>
      </c>
      <c r="AI59" s="118">
        <f>P59*Navires!$O$2</f>
        <v>0</v>
      </c>
      <c r="AJ59" s="118">
        <f>Q59*Navires!$P$2</f>
        <v>0</v>
      </c>
      <c r="AK59" s="35">
        <f>(SUM(V59:AJ59))*Générale!$B$8</f>
        <v>2000</v>
      </c>
    </row>
    <row r="60" spans="1:37" s="117" customFormat="1" ht="15" customHeight="1" x14ac:dyDescent="0.25">
      <c r="C60" s="215" t="s">
        <v>63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U60" s="217" t="s">
        <v>64</v>
      </c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</row>
    <row r="61" spans="1:37" s="117" customFormat="1" ht="26.25" customHeight="1" x14ac:dyDescent="0.25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</row>
    <row r="62" spans="1:37" s="117" customFormat="1" ht="45" x14ac:dyDescent="0.25">
      <c r="C62" s="24" t="s">
        <v>21</v>
      </c>
      <c r="D62" s="24" t="s">
        <v>22</v>
      </c>
      <c r="E62" s="23" t="s">
        <v>23</v>
      </c>
      <c r="F62" s="24" t="s">
        <v>24</v>
      </c>
      <c r="G62" s="24" t="s">
        <v>25</v>
      </c>
      <c r="H62" s="24" t="s">
        <v>26</v>
      </c>
      <c r="I62" s="25" t="s">
        <v>30</v>
      </c>
      <c r="J62" s="25" t="s">
        <v>33</v>
      </c>
      <c r="K62" s="25" t="s">
        <v>65</v>
      </c>
      <c r="L62" s="25" t="s">
        <v>31</v>
      </c>
      <c r="M62" s="25" t="s">
        <v>32</v>
      </c>
      <c r="N62" s="25" t="s">
        <v>29</v>
      </c>
      <c r="O62" s="25" t="s">
        <v>28</v>
      </c>
      <c r="P62" s="24" t="s">
        <v>27</v>
      </c>
      <c r="Q62" s="31" t="s">
        <v>34</v>
      </c>
      <c r="R62" s="33" t="s">
        <v>60</v>
      </c>
      <c r="U62" s="118"/>
      <c r="V62" s="23" t="s">
        <v>21</v>
      </c>
      <c r="W62" s="23" t="s">
        <v>22</v>
      </c>
      <c r="X62" s="23" t="s">
        <v>23</v>
      </c>
      <c r="Y62" s="23" t="s">
        <v>24</v>
      </c>
      <c r="Z62" s="23" t="s">
        <v>25</v>
      </c>
      <c r="AA62" s="23" t="s">
        <v>26</v>
      </c>
      <c r="AB62" s="23" t="s">
        <v>30</v>
      </c>
      <c r="AC62" s="23" t="s">
        <v>33</v>
      </c>
      <c r="AD62" s="23" t="s">
        <v>26</v>
      </c>
      <c r="AE62" s="23" t="s">
        <v>31</v>
      </c>
      <c r="AF62" s="23" t="s">
        <v>32</v>
      </c>
      <c r="AG62" s="23" t="s">
        <v>29</v>
      </c>
      <c r="AH62" s="23" t="s">
        <v>28</v>
      </c>
      <c r="AI62" s="23" t="s">
        <v>27</v>
      </c>
      <c r="AJ62" s="23" t="s">
        <v>34</v>
      </c>
      <c r="AK62" s="37" t="s">
        <v>60</v>
      </c>
    </row>
    <row r="63" spans="1:37" s="117" customFormat="1" x14ac:dyDescent="0.25">
      <c r="A63" s="117">
        <v>6</v>
      </c>
      <c r="B63" s="118" t="s">
        <v>147</v>
      </c>
      <c r="C63" s="118"/>
      <c r="D63" s="118"/>
      <c r="F63" s="118"/>
      <c r="G63" s="118"/>
      <c r="H63" s="118">
        <v>1</v>
      </c>
      <c r="I63" s="118"/>
      <c r="J63" s="118"/>
      <c r="K63" s="118"/>
      <c r="L63" s="118"/>
      <c r="M63" s="118"/>
      <c r="N63" s="118"/>
      <c r="O63" s="118"/>
      <c r="P63" s="118"/>
      <c r="Q63" s="32"/>
      <c r="R63" s="34">
        <f t="shared" ref="R63:R68" si="13">SUM(C63:Q63)</f>
        <v>1</v>
      </c>
      <c r="U63" s="118" t="s">
        <v>147</v>
      </c>
      <c r="V63" s="118">
        <f>C63*Navires!$B$2</f>
        <v>0</v>
      </c>
      <c r="W63" s="118">
        <f>D63*Navires!$C$2</f>
        <v>0</v>
      </c>
      <c r="X63" s="118">
        <f>E63*Navires!$D$2</f>
        <v>0</v>
      </c>
      <c r="Y63" s="118">
        <f>F63*Navires!$E$2</f>
        <v>0</v>
      </c>
      <c r="Z63" s="118">
        <f>G63*Navires!$F$2</f>
        <v>0</v>
      </c>
      <c r="AA63" s="118">
        <f>H63*Navires!$G$2</f>
        <v>2000</v>
      </c>
      <c r="AB63" s="118">
        <f>I63*Navires!$H$2</f>
        <v>0</v>
      </c>
      <c r="AC63" s="118">
        <f>J63*Navires!$I$2</f>
        <v>0</v>
      </c>
      <c r="AD63" s="118">
        <f>K63*Navires!$J$2</f>
        <v>0</v>
      </c>
      <c r="AE63" s="118">
        <f>L63*Navires!$K$2</f>
        <v>0</v>
      </c>
      <c r="AF63" s="118">
        <f>M63*Navires!$L$2</f>
        <v>0</v>
      </c>
      <c r="AG63" s="118">
        <f>N63*Navires!$M$2</f>
        <v>0</v>
      </c>
      <c r="AH63" s="118">
        <f>O63*Navires!$N$2</f>
        <v>0</v>
      </c>
      <c r="AI63" s="118">
        <f>P63*Navires!$O$2</f>
        <v>0</v>
      </c>
      <c r="AJ63" s="118">
        <f>Q63*Navires!$P$2</f>
        <v>0</v>
      </c>
      <c r="AK63" s="35">
        <f>(SUM(V63:AJ63))*Générale!$B$8</f>
        <v>2000</v>
      </c>
    </row>
    <row r="64" spans="1:37" s="117" customFormat="1" x14ac:dyDescent="0.25">
      <c r="A64" s="117">
        <v>7</v>
      </c>
      <c r="B64" s="118" t="s">
        <v>148</v>
      </c>
      <c r="C64" s="118"/>
      <c r="D64" s="118"/>
      <c r="E64" s="118"/>
      <c r="F64" s="118"/>
      <c r="G64" s="118">
        <v>1</v>
      </c>
      <c r="H64" s="118"/>
      <c r="I64" s="118"/>
      <c r="J64" s="118"/>
      <c r="K64" s="118"/>
      <c r="L64" s="118"/>
      <c r="M64" s="118"/>
      <c r="N64" s="118"/>
      <c r="O64" s="118"/>
      <c r="P64" s="118"/>
      <c r="Q64" s="32"/>
      <c r="R64" s="34">
        <f t="shared" si="13"/>
        <v>1</v>
      </c>
      <c r="U64" s="118" t="s">
        <v>148</v>
      </c>
      <c r="V64" s="118">
        <f>C64*Navires!$B$2</f>
        <v>0</v>
      </c>
      <c r="W64" s="118">
        <f>D64*Navires!$C$2</f>
        <v>0</v>
      </c>
      <c r="X64" s="118">
        <f>E64*Navires!$D$2</f>
        <v>0</v>
      </c>
      <c r="Y64" s="118">
        <f>F64*Navires!$E$2</f>
        <v>0</v>
      </c>
      <c r="Z64" s="118">
        <f>G64*Navires!$F$2</f>
        <v>1896</v>
      </c>
      <c r="AA64" s="118">
        <f>H64*Navires!$G$2</f>
        <v>0</v>
      </c>
      <c r="AB64" s="118">
        <f>I64*Navires!$H$2</f>
        <v>0</v>
      </c>
      <c r="AC64" s="118">
        <f>J64*Navires!$I$2</f>
        <v>0</v>
      </c>
      <c r="AD64" s="118">
        <f>K64*Navires!$J$2</f>
        <v>0</v>
      </c>
      <c r="AE64" s="118">
        <f>L64*Navires!$K$2</f>
        <v>0</v>
      </c>
      <c r="AF64" s="118">
        <f>M64*Navires!$L$2</f>
        <v>0</v>
      </c>
      <c r="AG64" s="118">
        <f>N64*Navires!$M$2</f>
        <v>0</v>
      </c>
      <c r="AH64" s="118">
        <f>O64*Navires!$N$2</f>
        <v>0</v>
      </c>
      <c r="AI64" s="118">
        <f>P64*Navires!$O$2</f>
        <v>0</v>
      </c>
      <c r="AJ64" s="118">
        <f>Q64*Navires!$P$2</f>
        <v>0</v>
      </c>
      <c r="AK64" s="35">
        <f>(SUM(V64:AJ64))*Générale!$B$8</f>
        <v>1896</v>
      </c>
    </row>
    <row r="65" spans="1:37" s="117" customFormat="1" x14ac:dyDescent="0.25">
      <c r="A65" s="117">
        <v>8</v>
      </c>
      <c r="B65" s="118" t="s">
        <v>149</v>
      </c>
      <c r="C65" s="118"/>
      <c r="D65" s="118"/>
      <c r="F65" s="118"/>
      <c r="G65" s="118"/>
      <c r="H65" s="118">
        <v>1</v>
      </c>
      <c r="I65" s="118"/>
      <c r="J65" s="118"/>
      <c r="K65" s="118"/>
      <c r="L65" s="118"/>
      <c r="M65" s="118"/>
      <c r="N65" s="118"/>
      <c r="O65" s="118"/>
      <c r="P65" s="118"/>
      <c r="Q65" s="32"/>
      <c r="R65" s="34">
        <f t="shared" si="13"/>
        <v>1</v>
      </c>
      <c r="U65" s="118" t="s">
        <v>149</v>
      </c>
      <c r="V65" s="118">
        <f>C65*Navires!$B$2</f>
        <v>0</v>
      </c>
      <c r="W65" s="118">
        <f>D65*Navires!$C$2</f>
        <v>0</v>
      </c>
      <c r="X65" s="118">
        <f>E65*Navires!$D$2</f>
        <v>0</v>
      </c>
      <c r="Y65" s="118">
        <f>F65*Navires!$E$2</f>
        <v>0</v>
      </c>
      <c r="Z65" s="118">
        <f>G65*Navires!$F$2</f>
        <v>0</v>
      </c>
      <c r="AA65" s="118">
        <f>H65*Navires!$G$2</f>
        <v>2000</v>
      </c>
      <c r="AB65" s="118">
        <f>I65*Navires!$H$2</f>
        <v>0</v>
      </c>
      <c r="AC65" s="118">
        <f>J65*Navires!$I$2</f>
        <v>0</v>
      </c>
      <c r="AD65" s="118">
        <f>K65*Navires!$J$2</f>
        <v>0</v>
      </c>
      <c r="AE65" s="118">
        <f>L65*Navires!$K$2</f>
        <v>0</v>
      </c>
      <c r="AF65" s="118">
        <f>M65*Navires!$L$2</f>
        <v>0</v>
      </c>
      <c r="AG65" s="118">
        <f>N65*Navires!$M$2</f>
        <v>0</v>
      </c>
      <c r="AH65" s="118">
        <f>O65*Navires!$N$2</f>
        <v>0</v>
      </c>
      <c r="AI65" s="118">
        <f>P65*Navires!$O$2</f>
        <v>0</v>
      </c>
      <c r="AJ65" s="118">
        <f>Q65*Navires!$P$2</f>
        <v>0</v>
      </c>
      <c r="AK65" s="35">
        <f>(SUM(V65:AJ65))*Générale!$B$8</f>
        <v>2000</v>
      </c>
    </row>
    <row r="66" spans="1:37" s="117" customFormat="1" x14ac:dyDescent="0.25">
      <c r="A66" s="117">
        <v>9</v>
      </c>
      <c r="B66" s="118" t="s">
        <v>150</v>
      </c>
      <c r="C66" s="118"/>
      <c r="D66" s="118"/>
      <c r="E66" s="118"/>
      <c r="F66" s="118"/>
      <c r="G66" s="118">
        <v>1</v>
      </c>
      <c r="H66" s="118"/>
      <c r="I66" s="118"/>
      <c r="J66" s="118"/>
      <c r="K66" s="118"/>
      <c r="L66" s="118"/>
      <c r="M66" s="118"/>
      <c r="N66" s="118"/>
      <c r="O66" s="118"/>
      <c r="P66" s="118"/>
      <c r="Q66" s="32"/>
      <c r="R66" s="34">
        <f t="shared" si="13"/>
        <v>1</v>
      </c>
      <c r="U66" s="118" t="s">
        <v>150</v>
      </c>
      <c r="V66" s="118">
        <f>C66*Navires!$B$2</f>
        <v>0</v>
      </c>
      <c r="W66" s="118">
        <f>D66*Navires!$C$2</f>
        <v>0</v>
      </c>
      <c r="X66" s="118">
        <f>E66*Navires!$D$2</f>
        <v>0</v>
      </c>
      <c r="Y66" s="118">
        <f>F66*Navires!$E$2</f>
        <v>0</v>
      </c>
      <c r="Z66" s="118">
        <f>G66*Navires!$F$2</f>
        <v>1896</v>
      </c>
      <c r="AA66" s="118">
        <f>H66*Navires!$G$2</f>
        <v>0</v>
      </c>
      <c r="AB66" s="118">
        <f>I66*Navires!$H$2</f>
        <v>0</v>
      </c>
      <c r="AC66" s="118">
        <f>J66*Navires!$I$2</f>
        <v>0</v>
      </c>
      <c r="AD66" s="118">
        <f>K66*Navires!$J$2</f>
        <v>0</v>
      </c>
      <c r="AE66" s="118">
        <f>L66*Navires!$K$2</f>
        <v>0</v>
      </c>
      <c r="AF66" s="118">
        <f>M66*Navires!$L$2</f>
        <v>0</v>
      </c>
      <c r="AG66" s="118">
        <f>N66*Navires!$M$2</f>
        <v>0</v>
      </c>
      <c r="AH66" s="118">
        <f>O66*Navires!$N$2</f>
        <v>0</v>
      </c>
      <c r="AI66" s="118">
        <f>P66*Navires!$O$2</f>
        <v>0</v>
      </c>
      <c r="AJ66" s="118">
        <f>Q66*Navires!$P$2</f>
        <v>0</v>
      </c>
      <c r="AK66" s="35">
        <f>(SUM(V66:AJ66))*Générale!$B$8</f>
        <v>1896</v>
      </c>
    </row>
    <row r="67" spans="1:37" s="117" customFormat="1" x14ac:dyDescent="0.25">
      <c r="A67" s="117">
        <v>10</v>
      </c>
      <c r="B67" s="118" t="s">
        <v>151</v>
      </c>
      <c r="C67" s="118"/>
      <c r="D67" s="118"/>
      <c r="F67" s="118"/>
      <c r="G67" s="118"/>
      <c r="H67" s="118">
        <v>1</v>
      </c>
      <c r="I67" s="118"/>
      <c r="J67" s="118"/>
      <c r="K67" s="118"/>
      <c r="L67" s="118"/>
      <c r="M67" s="118"/>
      <c r="N67" s="118"/>
      <c r="O67" s="118"/>
      <c r="P67" s="118"/>
      <c r="Q67" s="32"/>
      <c r="R67" s="34">
        <f t="shared" si="13"/>
        <v>1</v>
      </c>
      <c r="U67" s="118" t="s">
        <v>151</v>
      </c>
      <c r="V67" s="118">
        <f>C67*Navires!$B$2</f>
        <v>0</v>
      </c>
      <c r="W67" s="118">
        <f>D67*Navires!$C$2</f>
        <v>0</v>
      </c>
      <c r="X67" s="118">
        <f>E67*Navires!$D$2</f>
        <v>0</v>
      </c>
      <c r="Y67" s="118">
        <f>F67*Navires!$E$2</f>
        <v>0</v>
      </c>
      <c r="Z67" s="118">
        <f>G67*Navires!$F$2</f>
        <v>0</v>
      </c>
      <c r="AA67" s="118">
        <f>H67*Navires!$G$2</f>
        <v>2000</v>
      </c>
      <c r="AB67" s="118">
        <f>I67*Navires!$H$2</f>
        <v>0</v>
      </c>
      <c r="AC67" s="118">
        <f>J67*Navires!$I$2</f>
        <v>0</v>
      </c>
      <c r="AD67" s="118">
        <f>K67*Navires!$J$2</f>
        <v>0</v>
      </c>
      <c r="AE67" s="118">
        <f>L67*Navires!$K$2</f>
        <v>0</v>
      </c>
      <c r="AF67" s="118">
        <f>M67*Navires!$L$2</f>
        <v>0</v>
      </c>
      <c r="AG67" s="118">
        <f>N67*Navires!$M$2</f>
        <v>0</v>
      </c>
      <c r="AH67" s="118">
        <f>O67*Navires!$N$2</f>
        <v>0</v>
      </c>
      <c r="AI67" s="118">
        <f>P67*Navires!$O$2</f>
        <v>0</v>
      </c>
      <c r="AJ67" s="118">
        <f>Q67*Navires!$P$2</f>
        <v>0</v>
      </c>
      <c r="AK67" s="35">
        <f>(SUM(V67:AJ67))*Générale!$B$8</f>
        <v>2000</v>
      </c>
    </row>
    <row r="68" spans="1:37" s="117" customFormat="1" x14ac:dyDescent="0.25">
      <c r="A68" s="117">
        <v>11</v>
      </c>
      <c r="B68" s="118" t="s">
        <v>152</v>
      </c>
      <c r="C68" s="118"/>
      <c r="D68" s="118"/>
      <c r="E68" s="118"/>
      <c r="F68" s="118"/>
      <c r="G68" s="118">
        <v>1</v>
      </c>
      <c r="H68" s="118"/>
      <c r="I68" s="118"/>
      <c r="J68" s="118"/>
      <c r="K68" s="118"/>
      <c r="L68" s="118"/>
      <c r="M68" s="118"/>
      <c r="N68" s="118"/>
      <c r="O68" s="118"/>
      <c r="P68" s="118"/>
      <c r="Q68" s="32"/>
      <c r="R68" s="34">
        <f t="shared" si="13"/>
        <v>1</v>
      </c>
      <c r="U68" s="118" t="s">
        <v>152</v>
      </c>
      <c r="V68" s="118">
        <f>C68*Navires!$B$2</f>
        <v>0</v>
      </c>
      <c r="W68" s="118">
        <f>D68*Navires!$C$2</f>
        <v>0</v>
      </c>
      <c r="X68" s="118">
        <f>E68*Navires!$D$2</f>
        <v>0</v>
      </c>
      <c r="Y68" s="118">
        <f>F68*Navires!$E$2</f>
        <v>0</v>
      </c>
      <c r="Z68" s="118">
        <f>G68*Navires!$F$2</f>
        <v>1896</v>
      </c>
      <c r="AA68" s="118">
        <f>H68*Navires!$G$2</f>
        <v>0</v>
      </c>
      <c r="AB68" s="118">
        <f>I68*Navires!$H$2</f>
        <v>0</v>
      </c>
      <c r="AC68" s="118">
        <f>J68*Navires!$I$2</f>
        <v>0</v>
      </c>
      <c r="AD68" s="118">
        <f>K68*Navires!$J$2</f>
        <v>0</v>
      </c>
      <c r="AE68" s="118">
        <f>L68*Navires!$K$2</f>
        <v>0</v>
      </c>
      <c r="AF68" s="118">
        <f>M68*Navires!$L$2</f>
        <v>0</v>
      </c>
      <c r="AG68" s="118">
        <f>N68*Navires!$M$2</f>
        <v>0</v>
      </c>
      <c r="AH68" s="118">
        <f>O68*Navires!$N$2</f>
        <v>0</v>
      </c>
      <c r="AI68" s="118">
        <f>P68*Navires!$O$2</f>
        <v>0</v>
      </c>
      <c r="AJ68" s="118">
        <f>Q68*Navires!$P$2</f>
        <v>0</v>
      </c>
      <c r="AK68" s="35">
        <f>(SUM(V68:AJ68))*Générale!$B$8</f>
        <v>1896</v>
      </c>
    </row>
    <row r="69" spans="1:37" s="117" customFormat="1" x14ac:dyDescent="0.25">
      <c r="A69" s="117">
        <v>12</v>
      </c>
      <c r="B69" s="118" t="s">
        <v>146</v>
      </c>
      <c r="C69" s="118"/>
      <c r="D69" s="118"/>
      <c r="E69" s="118"/>
      <c r="F69" s="118"/>
      <c r="G69" s="118"/>
      <c r="H69" s="118">
        <v>1</v>
      </c>
      <c r="I69" s="118"/>
      <c r="J69" s="118"/>
      <c r="K69" s="118"/>
      <c r="L69" s="118"/>
      <c r="M69" s="118"/>
      <c r="N69" s="118"/>
      <c r="O69" s="118"/>
      <c r="P69" s="118"/>
      <c r="Q69" s="32"/>
      <c r="R69" s="34">
        <f>SUM(C69:Q69)</f>
        <v>1</v>
      </c>
      <c r="U69" s="118" t="s">
        <v>146</v>
      </c>
      <c r="V69" s="118">
        <f>C69*Navires!$B$2</f>
        <v>0</v>
      </c>
      <c r="W69" s="118">
        <f>D69*Navires!$C$2</f>
        <v>0</v>
      </c>
      <c r="X69" s="118">
        <f>E69*Navires!$D$2</f>
        <v>0</v>
      </c>
      <c r="Y69" s="118">
        <f>F69*Navires!$E$2</f>
        <v>0</v>
      </c>
      <c r="Z69" s="118">
        <f>G69*Navires!$F$2</f>
        <v>0</v>
      </c>
      <c r="AA69" s="118">
        <f>H69*Navires!$G$2</f>
        <v>2000</v>
      </c>
      <c r="AB69" s="118">
        <f>I69*Navires!$H$2</f>
        <v>0</v>
      </c>
      <c r="AC69" s="118">
        <f>J69*Navires!$I$2</f>
        <v>0</v>
      </c>
      <c r="AD69" s="118">
        <f>K69*Navires!$J$2</f>
        <v>0</v>
      </c>
      <c r="AE69" s="118">
        <f>L69*Navires!$K$2</f>
        <v>0</v>
      </c>
      <c r="AF69" s="118">
        <f>M69*Navires!$L$2</f>
        <v>0</v>
      </c>
      <c r="AG69" s="118">
        <f>N69*Navires!$M$2</f>
        <v>0</v>
      </c>
      <c r="AH69" s="118">
        <f>O69*Navires!$N$2</f>
        <v>0</v>
      </c>
      <c r="AI69" s="118">
        <f>P69*Navires!$O$2</f>
        <v>0</v>
      </c>
      <c r="AJ69" s="118">
        <f>Q69*Navires!$P$2</f>
        <v>0</v>
      </c>
      <c r="AK69" s="35">
        <f>(SUM(V69:AJ69))*Générale!$B$8</f>
        <v>2000</v>
      </c>
    </row>
    <row r="70" spans="1:37" s="117" customFormat="1" x14ac:dyDescent="0.25"/>
    <row r="71" spans="1:37" s="117" customFormat="1" x14ac:dyDescent="0.25">
      <c r="B71" s="117" t="s">
        <v>154</v>
      </c>
    </row>
    <row r="72" spans="1:37" s="117" customFormat="1" ht="23.25" customHeight="1" x14ac:dyDescent="0.25">
      <c r="C72" s="215" t="s">
        <v>61</v>
      </c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V72" s="215" t="s">
        <v>62</v>
      </c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7"/>
    </row>
    <row r="73" spans="1:37" s="117" customFormat="1" ht="23.25" customHeight="1" x14ac:dyDescent="0.25"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8"/>
    </row>
    <row r="74" spans="1:37" s="117" customFormat="1" ht="45" x14ac:dyDescent="0.25">
      <c r="C74" s="24" t="s">
        <v>21</v>
      </c>
      <c r="D74" s="24" t="s">
        <v>22</v>
      </c>
      <c r="E74" s="23" t="s">
        <v>23</v>
      </c>
      <c r="F74" s="24" t="s">
        <v>24</v>
      </c>
      <c r="G74" s="24" t="s">
        <v>25</v>
      </c>
      <c r="H74" s="24" t="s">
        <v>26</v>
      </c>
      <c r="I74" s="25" t="s">
        <v>30</v>
      </c>
      <c r="J74" s="25" t="s">
        <v>33</v>
      </c>
      <c r="K74" s="25" t="s">
        <v>65</v>
      </c>
      <c r="L74" s="25" t="s">
        <v>31</v>
      </c>
      <c r="M74" s="25" t="s">
        <v>32</v>
      </c>
      <c r="N74" s="25" t="s">
        <v>29</v>
      </c>
      <c r="O74" s="25" t="s">
        <v>28</v>
      </c>
      <c r="P74" s="24" t="s">
        <v>27</v>
      </c>
      <c r="Q74" s="31" t="s">
        <v>34</v>
      </c>
      <c r="R74" s="33" t="s">
        <v>60</v>
      </c>
      <c r="S74" s="87"/>
      <c r="V74" s="24" t="s">
        <v>21</v>
      </c>
      <c r="W74" s="24" t="s">
        <v>22</v>
      </c>
      <c r="X74" s="24" t="s">
        <v>23</v>
      </c>
      <c r="Y74" s="24" t="s">
        <v>24</v>
      </c>
      <c r="Z74" s="24" t="s">
        <v>25</v>
      </c>
      <c r="AA74" s="24" t="s">
        <v>26</v>
      </c>
      <c r="AB74" s="25" t="s">
        <v>30</v>
      </c>
      <c r="AC74" s="25" t="s">
        <v>33</v>
      </c>
      <c r="AD74" s="25" t="s">
        <v>26</v>
      </c>
      <c r="AE74" s="25" t="s">
        <v>31</v>
      </c>
      <c r="AF74" s="25" t="s">
        <v>32</v>
      </c>
      <c r="AG74" s="25" t="s">
        <v>29</v>
      </c>
      <c r="AH74" s="25" t="s">
        <v>28</v>
      </c>
      <c r="AI74" s="24" t="s">
        <v>27</v>
      </c>
      <c r="AJ74" s="25" t="s">
        <v>34</v>
      </c>
      <c r="AK74" s="33" t="s">
        <v>60</v>
      </c>
    </row>
    <row r="75" spans="1:37" s="117" customFormat="1" x14ac:dyDescent="0.25">
      <c r="A75" s="117">
        <v>24</v>
      </c>
      <c r="B75" s="118" t="s">
        <v>147</v>
      </c>
      <c r="C75" s="118">
        <v>1</v>
      </c>
      <c r="D75" s="118"/>
      <c r="F75" s="118"/>
      <c r="G75" s="118">
        <v>1</v>
      </c>
      <c r="H75" s="118"/>
      <c r="I75" s="118"/>
      <c r="J75" s="118"/>
      <c r="K75" s="118"/>
      <c r="L75" s="118"/>
      <c r="M75" s="118"/>
      <c r="N75" s="118"/>
      <c r="O75" s="118"/>
      <c r="P75" s="118"/>
      <c r="Q75" s="32"/>
      <c r="R75" s="34">
        <f t="shared" ref="R75:R76" si="14">SUM(C75:Q75)</f>
        <v>2</v>
      </c>
      <c r="S75" s="135"/>
      <c r="U75" s="118" t="s">
        <v>147</v>
      </c>
      <c r="V75" s="118">
        <f>C75*Navires!$B$2</f>
        <v>1955</v>
      </c>
      <c r="W75" s="118">
        <f>D75*Navires!$C$2</f>
        <v>0</v>
      </c>
      <c r="X75" s="118">
        <f>E75*Navires!$D$2</f>
        <v>0</v>
      </c>
      <c r="Y75" s="118">
        <f>F75*Navires!$E$2</f>
        <v>0</v>
      </c>
      <c r="Z75" s="118">
        <f>G75*Navires!$F$2</f>
        <v>1896</v>
      </c>
      <c r="AA75" s="118">
        <f>H75*Navires!$G$2</f>
        <v>0</v>
      </c>
      <c r="AB75" s="118">
        <f>I75*Navires!$H$2</f>
        <v>0</v>
      </c>
      <c r="AC75" s="118">
        <f>J75*Navires!$I$2</f>
        <v>0</v>
      </c>
      <c r="AD75" s="118">
        <f>K75*Navires!$J$2</f>
        <v>0</v>
      </c>
      <c r="AE75" s="118">
        <f>L75*Navires!$K$2</f>
        <v>0</v>
      </c>
      <c r="AF75" s="118">
        <f>M75*Navires!$L$2</f>
        <v>0</v>
      </c>
      <c r="AG75" s="118">
        <f>N75*Navires!$M$2</f>
        <v>0</v>
      </c>
      <c r="AH75" s="118">
        <f>O75*Navires!$N$2</f>
        <v>0</v>
      </c>
      <c r="AI75" s="118">
        <f>P75*Navires!$O$2</f>
        <v>0</v>
      </c>
      <c r="AJ75" s="118">
        <f>Q75*Navires!$P$2</f>
        <v>0</v>
      </c>
      <c r="AK75" s="35">
        <f>(SUM(V75:AJ75))*Générale!$B$13</f>
        <v>3851</v>
      </c>
    </row>
    <row r="76" spans="1:37" s="117" customFormat="1" x14ac:dyDescent="0.25">
      <c r="A76" s="117">
        <v>25</v>
      </c>
      <c r="B76" s="118" t="s">
        <v>148</v>
      </c>
      <c r="C76" s="118"/>
      <c r="D76" s="118"/>
      <c r="E76" s="118"/>
      <c r="F76" s="118"/>
      <c r="G76" s="118"/>
      <c r="H76" s="118"/>
      <c r="I76" s="118">
        <v>1</v>
      </c>
      <c r="J76" s="118"/>
      <c r="K76" s="118"/>
      <c r="L76" s="118"/>
      <c r="M76" s="118"/>
      <c r="N76" s="118"/>
      <c r="O76" s="118"/>
      <c r="P76" s="118"/>
      <c r="Q76" s="32"/>
      <c r="R76" s="34">
        <f t="shared" si="14"/>
        <v>1</v>
      </c>
      <c r="S76" s="135"/>
      <c r="U76" s="118" t="s">
        <v>148</v>
      </c>
      <c r="V76" s="118">
        <f>C76*Navires!$B$2</f>
        <v>0</v>
      </c>
      <c r="W76" s="118">
        <f>D76*Navires!$C$2</f>
        <v>0</v>
      </c>
      <c r="X76" s="118">
        <f>E76*Navires!$D$2</f>
        <v>0</v>
      </c>
      <c r="Y76" s="118">
        <f>F76*Navires!$E$2</f>
        <v>0</v>
      </c>
      <c r="Z76" s="118">
        <f>G76*Navires!$F$2</f>
        <v>0</v>
      </c>
      <c r="AA76" s="118">
        <f>H76*Navires!$G$2</f>
        <v>0</v>
      </c>
      <c r="AB76" s="118">
        <f>I76*Navires!$H$2</f>
        <v>2000</v>
      </c>
      <c r="AC76" s="118">
        <f>J76*Navires!$I$2</f>
        <v>0</v>
      </c>
      <c r="AD76" s="118">
        <f>K76*Navires!$J$2</f>
        <v>0</v>
      </c>
      <c r="AE76" s="118">
        <f>L76*Navires!$K$2</f>
        <v>0</v>
      </c>
      <c r="AF76" s="118">
        <f>M76*Navires!$L$2</f>
        <v>0</v>
      </c>
      <c r="AG76" s="118">
        <f>N76*Navires!$M$2</f>
        <v>0</v>
      </c>
      <c r="AH76" s="118">
        <f>O76*Navires!$N$2</f>
        <v>0</v>
      </c>
      <c r="AI76" s="118">
        <f>P76*Navires!$O$2</f>
        <v>0</v>
      </c>
      <c r="AJ76" s="118">
        <f>Q76*Navires!$P$2</f>
        <v>0</v>
      </c>
      <c r="AK76" s="35">
        <f>(SUM(V76:AJ76))*Générale!$B$13</f>
        <v>2000</v>
      </c>
    </row>
    <row r="77" spans="1:37" s="117" customFormat="1" x14ac:dyDescent="0.25">
      <c r="A77" s="117">
        <v>26</v>
      </c>
      <c r="B77" s="118" t="s">
        <v>149</v>
      </c>
      <c r="C77" s="118"/>
      <c r="D77" s="118"/>
      <c r="E77" s="118"/>
      <c r="F77" s="118"/>
      <c r="G77" s="118">
        <v>1</v>
      </c>
      <c r="H77" s="118"/>
      <c r="I77" s="118"/>
      <c r="J77" s="118"/>
      <c r="K77" s="118"/>
      <c r="L77" s="118"/>
      <c r="M77" s="118"/>
      <c r="N77" s="118"/>
      <c r="O77" s="118"/>
      <c r="P77" s="118"/>
      <c r="Q77" s="32"/>
      <c r="R77" s="34">
        <f t="shared" ref="R77:R80" si="15">SUM(C77:Q77)</f>
        <v>1</v>
      </c>
      <c r="S77" s="135"/>
      <c r="U77" s="118" t="s">
        <v>149</v>
      </c>
      <c r="V77" s="118">
        <f>C77*Navires!$B$2</f>
        <v>0</v>
      </c>
      <c r="W77" s="118">
        <f>D77*Navires!$C$2</f>
        <v>0</v>
      </c>
      <c r="X77" s="118">
        <f>E77*Navires!$D$2</f>
        <v>0</v>
      </c>
      <c r="Y77" s="118">
        <f>F77*Navires!$E$2</f>
        <v>0</v>
      </c>
      <c r="Z77" s="118">
        <f>G77*Navires!$F$2</f>
        <v>1896</v>
      </c>
      <c r="AA77" s="118">
        <f>H77*Navires!$G$2</f>
        <v>0</v>
      </c>
      <c r="AB77" s="118">
        <f>I77*Navires!$H$2</f>
        <v>0</v>
      </c>
      <c r="AC77" s="118">
        <f>J77*Navires!$I$2</f>
        <v>0</v>
      </c>
      <c r="AD77" s="118">
        <f>K77*Navires!$J$2</f>
        <v>0</v>
      </c>
      <c r="AE77" s="118">
        <f>L77*Navires!$K$2</f>
        <v>0</v>
      </c>
      <c r="AF77" s="118">
        <f>M77*Navires!$L$2</f>
        <v>0</v>
      </c>
      <c r="AG77" s="118">
        <f>N77*Navires!$M$2</f>
        <v>0</v>
      </c>
      <c r="AH77" s="118">
        <f>O77*Navires!$N$2</f>
        <v>0</v>
      </c>
      <c r="AI77" s="118">
        <f>P77*Navires!$O$2</f>
        <v>0</v>
      </c>
      <c r="AJ77" s="118">
        <f>Q77*Navires!$P$2</f>
        <v>0</v>
      </c>
      <c r="AK77" s="35">
        <f>(SUM(V77:AJ77))*Générale!$B$13</f>
        <v>1896</v>
      </c>
    </row>
    <row r="78" spans="1:37" s="117" customFormat="1" x14ac:dyDescent="0.25">
      <c r="A78" s="117">
        <v>27</v>
      </c>
      <c r="B78" s="118" t="s">
        <v>150</v>
      </c>
      <c r="C78" s="118"/>
      <c r="D78" s="118"/>
      <c r="E78" s="118"/>
      <c r="F78" s="118">
        <v>1</v>
      </c>
      <c r="G78" s="118"/>
      <c r="H78" s="118"/>
      <c r="I78" s="118">
        <v>1</v>
      </c>
      <c r="J78" s="118"/>
      <c r="K78" s="118"/>
      <c r="L78" s="118"/>
      <c r="M78" s="118"/>
      <c r="N78" s="118"/>
      <c r="O78" s="118"/>
      <c r="P78" s="118"/>
      <c r="Q78" s="32"/>
      <c r="R78" s="34">
        <f t="shared" si="15"/>
        <v>2</v>
      </c>
      <c r="S78" s="135"/>
      <c r="U78" s="118" t="s">
        <v>150</v>
      </c>
      <c r="V78" s="118">
        <f>C78*Navires!$B$2</f>
        <v>0</v>
      </c>
      <c r="W78" s="118">
        <f>D78*Navires!$C$2</f>
        <v>0</v>
      </c>
      <c r="X78" s="118">
        <f>E78*Navires!$D$2</f>
        <v>0</v>
      </c>
      <c r="Y78" s="118">
        <f>F78*Navires!$E$2</f>
        <v>1880</v>
      </c>
      <c r="Z78" s="118">
        <f>G78*Navires!$F$2</f>
        <v>0</v>
      </c>
      <c r="AA78" s="118">
        <f>H78*Navires!$G$2</f>
        <v>0</v>
      </c>
      <c r="AB78" s="118">
        <f>I78*Navires!$H$2</f>
        <v>2000</v>
      </c>
      <c r="AC78" s="118">
        <f>J78*Navires!$I$2</f>
        <v>0</v>
      </c>
      <c r="AD78" s="118">
        <f>K78*Navires!$J$2</f>
        <v>0</v>
      </c>
      <c r="AE78" s="118">
        <f>L78*Navires!$K$2</f>
        <v>0</v>
      </c>
      <c r="AF78" s="118">
        <f>M78*Navires!$L$2</f>
        <v>0</v>
      </c>
      <c r="AG78" s="118">
        <f>N78*Navires!$M$2</f>
        <v>0</v>
      </c>
      <c r="AH78" s="118">
        <f>O78*Navires!$N$2</f>
        <v>0</v>
      </c>
      <c r="AI78" s="118">
        <f>P78*Navires!$O$2</f>
        <v>0</v>
      </c>
      <c r="AJ78" s="118">
        <f>Q78*Navires!$P$2</f>
        <v>0</v>
      </c>
      <c r="AK78" s="35">
        <f>(SUM(V78:AJ78))*Générale!$B$13</f>
        <v>3880</v>
      </c>
    </row>
    <row r="79" spans="1:37" s="117" customFormat="1" x14ac:dyDescent="0.25">
      <c r="A79" s="117">
        <v>28</v>
      </c>
      <c r="B79" s="118" t="s">
        <v>151</v>
      </c>
      <c r="C79" s="118"/>
      <c r="D79" s="118">
        <v>1</v>
      </c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32"/>
      <c r="R79" s="34">
        <f t="shared" si="15"/>
        <v>1</v>
      </c>
      <c r="S79" s="135"/>
      <c r="U79" s="118" t="s">
        <v>151</v>
      </c>
      <c r="V79" s="118">
        <f>C79*Navires!$B$2</f>
        <v>0</v>
      </c>
      <c r="W79" s="118">
        <f>D79*Navires!$C$2</f>
        <v>1955</v>
      </c>
      <c r="X79" s="118">
        <f>E79*Navires!$D$2</f>
        <v>0</v>
      </c>
      <c r="Y79" s="118">
        <f>F79*Navires!$E$2</f>
        <v>0</v>
      </c>
      <c r="Z79" s="118">
        <f>G79*Navires!$F$2</f>
        <v>0</v>
      </c>
      <c r="AA79" s="118">
        <f>H79*Navires!$G$2</f>
        <v>0</v>
      </c>
      <c r="AB79" s="118">
        <f>I79*Navires!$H$2</f>
        <v>0</v>
      </c>
      <c r="AC79" s="118">
        <f>J79*Navires!$I$2</f>
        <v>0</v>
      </c>
      <c r="AD79" s="118">
        <f>K79*Navires!$J$2</f>
        <v>0</v>
      </c>
      <c r="AE79" s="118">
        <f>L79*Navires!$K$2</f>
        <v>0</v>
      </c>
      <c r="AF79" s="118">
        <f>M79*Navires!$L$2</f>
        <v>0</v>
      </c>
      <c r="AG79" s="118">
        <f>N79*Navires!$M$2</f>
        <v>0</v>
      </c>
      <c r="AH79" s="118">
        <f>O79*Navires!$N$2</f>
        <v>0</v>
      </c>
      <c r="AI79" s="118">
        <f>P79*Navires!$O$2</f>
        <v>0</v>
      </c>
      <c r="AJ79" s="118">
        <f>Q79*Navires!$P$2</f>
        <v>0</v>
      </c>
      <c r="AK79" s="35">
        <f>(SUM(V79:AJ79))*Générale!$B$13</f>
        <v>1955</v>
      </c>
    </row>
    <row r="80" spans="1:37" s="117" customFormat="1" x14ac:dyDescent="0.25">
      <c r="A80" s="117">
        <v>29</v>
      </c>
      <c r="B80" s="118" t="s">
        <v>152</v>
      </c>
      <c r="C80" s="118"/>
      <c r="D80" s="118"/>
      <c r="E80" s="118"/>
      <c r="F80" s="118"/>
      <c r="G80" s="118">
        <v>1</v>
      </c>
      <c r="H80" s="118"/>
      <c r="I80" s="118"/>
      <c r="J80" s="118"/>
      <c r="K80" s="118"/>
      <c r="L80" s="118"/>
      <c r="M80" s="118"/>
      <c r="N80" s="118"/>
      <c r="O80" s="118"/>
      <c r="P80" s="118"/>
      <c r="Q80" s="32"/>
      <c r="R80" s="34">
        <f t="shared" si="15"/>
        <v>1</v>
      </c>
      <c r="S80" s="135"/>
      <c r="U80" s="118" t="s">
        <v>152</v>
      </c>
      <c r="V80" s="118">
        <f>C80*Navires!$B$2</f>
        <v>0</v>
      </c>
      <c r="W80" s="118">
        <f>D80*Navires!$C$2</f>
        <v>0</v>
      </c>
      <c r="X80" s="118">
        <f>E80*Navires!$D$2</f>
        <v>0</v>
      </c>
      <c r="Y80" s="118">
        <f>F80*Navires!$E$2</f>
        <v>0</v>
      </c>
      <c r="Z80" s="118">
        <f>G80*Navires!$F$2</f>
        <v>1896</v>
      </c>
      <c r="AA80" s="118">
        <f>H80*Navires!$G$2</f>
        <v>0</v>
      </c>
      <c r="AB80" s="118">
        <f>I80*Navires!$H$2</f>
        <v>0</v>
      </c>
      <c r="AC80" s="118">
        <f>J80*Navires!$I$2</f>
        <v>0</v>
      </c>
      <c r="AD80" s="118">
        <f>K80*Navires!$J$2</f>
        <v>0</v>
      </c>
      <c r="AE80" s="118">
        <f>L80*Navires!$K$2</f>
        <v>0</v>
      </c>
      <c r="AF80" s="118">
        <f>M80*Navires!$L$2</f>
        <v>0</v>
      </c>
      <c r="AG80" s="118">
        <f>N80*Navires!$M$2</f>
        <v>0</v>
      </c>
      <c r="AH80" s="118">
        <f>O80*Navires!$N$2</f>
        <v>0</v>
      </c>
      <c r="AI80" s="118">
        <f>P80*Navires!$O$2</f>
        <v>0</v>
      </c>
      <c r="AJ80" s="118">
        <f>Q80*Navires!$P$2</f>
        <v>0</v>
      </c>
      <c r="AK80" s="35">
        <f>(SUM(V80:AJ80))*Générale!$B$13</f>
        <v>1896</v>
      </c>
    </row>
    <row r="81" spans="1:37" s="117" customFormat="1" ht="15" customHeight="1" x14ac:dyDescent="0.25">
      <c r="A81" s="117">
        <v>30</v>
      </c>
      <c r="B81" s="118" t="s">
        <v>146</v>
      </c>
      <c r="C81" s="118"/>
      <c r="D81" s="118"/>
      <c r="E81" s="118"/>
      <c r="F81" s="118"/>
      <c r="G81" s="118"/>
      <c r="H81" s="118"/>
      <c r="I81" s="118">
        <v>1</v>
      </c>
      <c r="J81" s="118"/>
      <c r="K81" s="118"/>
      <c r="L81" s="118"/>
      <c r="M81" s="118"/>
      <c r="N81" s="118"/>
      <c r="O81" s="118"/>
      <c r="P81" s="118"/>
      <c r="Q81" s="32"/>
      <c r="R81" s="34">
        <f>SUM(C81:Q81)</f>
        <v>1</v>
      </c>
      <c r="S81" s="135"/>
      <c r="U81" s="118" t="s">
        <v>146</v>
      </c>
      <c r="V81" s="118">
        <f>C81*Navires!$B$2</f>
        <v>0</v>
      </c>
      <c r="W81" s="118">
        <f>D81*Navires!$C$2</f>
        <v>0</v>
      </c>
      <c r="X81" s="118">
        <f>E81*Navires!$D$2</f>
        <v>0</v>
      </c>
      <c r="Y81" s="118">
        <f>F81*Navires!$E$2</f>
        <v>0</v>
      </c>
      <c r="Z81" s="118">
        <f>G81*Navires!$F$2</f>
        <v>0</v>
      </c>
      <c r="AA81" s="118">
        <f>H81*Navires!$G$2</f>
        <v>0</v>
      </c>
      <c r="AB81" s="118">
        <f>I81*Navires!$H$2</f>
        <v>2000</v>
      </c>
      <c r="AC81" s="118">
        <f>J81*Navires!$I$2</f>
        <v>0</v>
      </c>
      <c r="AD81" s="118">
        <f>K81*Navires!$J$2</f>
        <v>0</v>
      </c>
      <c r="AE81" s="118">
        <f>L81*Navires!$K$2</f>
        <v>0</v>
      </c>
      <c r="AF81" s="118">
        <f>M81*Navires!$L$2</f>
        <v>0</v>
      </c>
      <c r="AG81" s="118">
        <f>N81*Navires!$M$2</f>
        <v>0</v>
      </c>
      <c r="AH81" s="118">
        <f>O81*Navires!$N$2</f>
        <v>0</v>
      </c>
      <c r="AI81" s="118">
        <f>P81*Navires!$O$2</f>
        <v>0</v>
      </c>
      <c r="AJ81" s="118">
        <f>Q81*Navires!$P$2</f>
        <v>0</v>
      </c>
      <c r="AK81" s="35">
        <f>(SUM(V81:AJ81))*Générale!$B$13</f>
        <v>2000</v>
      </c>
    </row>
    <row r="82" spans="1:37" s="117" customFormat="1" ht="15" customHeight="1" x14ac:dyDescent="0.25">
      <c r="C82" s="215" t="s">
        <v>63</v>
      </c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U82" s="217" t="s">
        <v>64</v>
      </c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</row>
    <row r="83" spans="1:37" s="117" customFormat="1" ht="26.25" customHeight="1" x14ac:dyDescent="0.25"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</row>
    <row r="84" spans="1:37" s="117" customFormat="1" ht="45" x14ac:dyDescent="0.25">
      <c r="C84" s="24" t="s">
        <v>21</v>
      </c>
      <c r="D84" s="24" t="s">
        <v>22</v>
      </c>
      <c r="E84" s="23" t="s">
        <v>23</v>
      </c>
      <c r="F84" s="24" t="s">
        <v>24</v>
      </c>
      <c r="G84" s="24" t="s">
        <v>25</v>
      </c>
      <c r="H84" s="24" t="s">
        <v>26</v>
      </c>
      <c r="I84" s="25" t="s">
        <v>30</v>
      </c>
      <c r="J84" s="25" t="s">
        <v>33</v>
      </c>
      <c r="K84" s="25" t="s">
        <v>65</v>
      </c>
      <c r="L84" s="25" t="s">
        <v>31</v>
      </c>
      <c r="M84" s="25" t="s">
        <v>32</v>
      </c>
      <c r="N84" s="25" t="s">
        <v>29</v>
      </c>
      <c r="O84" s="25" t="s">
        <v>28</v>
      </c>
      <c r="P84" s="24" t="s">
        <v>27</v>
      </c>
      <c r="Q84" s="31" t="s">
        <v>34</v>
      </c>
      <c r="R84" s="33" t="s">
        <v>60</v>
      </c>
      <c r="U84" s="118"/>
      <c r="V84" s="23" t="s">
        <v>21</v>
      </c>
      <c r="W84" s="23" t="s">
        <v>22</v>
      </c>
      <c r="X84" s="23" t="s">
        <v>23</v>
      </c>
      <c r="Y84" s="23" t="s">
        <v>24</v>
      </c>
      <c r="Z84" s="23" t="s">
        <v>25</v>
      </c>
      <c r="AA84" s="23" t="s">
        <v>26</v>
      </c>
      <c r="AB84" s="23" t="s">
        <v>30</v>
      </c>
      <c r="AC84" s="23" t="s">
        <v>33</v>
      </c>
      <c r="AD84" s="23" t="s">
        <v>26</v>
      </c>
      <c r="AE84" s="23" t="s">
        <v>31</v>
      </c>
      <c r="AF84" s="23" t="s">
        <v>32</v>
      </c>
      <c r="AG84" s="23" t="s">
        <v>29</v>
      </c>
      <c r="AH84" s="23" t="s">
        <v>28</v>
      </c>
      <c r="AI84" s="23" t="s">
        <v>27</v>
      </c>
      <c r="AJ84" s="23" t="s">
        <v>34</v>
      </c>
      <c r="AK84" s="37" t="s">
        <v>60</v>
      </c>
    </row>
    <row r="85" spans="1:37" s="117" customFormat="1" x14ac:dyDescent="0.25">
      <c r="A85" s="117">
        <v>24</v>
      </c>
      <c r="B85" s="118" t="s">
        <v>147</v>
      </c>
      <c r="C85" s="118"/>
      <c r="D85" s="118"/>
      <c r="F85" s="118"/>
      <c r="G85" s="118">
        <v>2</v>
      </c>
      <c r="H85" s="118"/>
      <c r="I85" s="118"/>
      <c r="J85" s="118"/>
      <c r="K85" s="118"/>
      <c r="L85" s="118"/>
      <c r="M85" s="118"/>
      <c r="N85" s="118"/>
      <c r="O85" s="118"/>
      <c r="P85" s="118"/>
      <c r="Q85" s="32"/>
      <c r="R85" s="34">
        <f t="shared" ref="R85:R86" si="16">SUM(C85:Q85)</f>
        <v>2</v>
      </c>
      <c r="U85" s="118" t="s">
        <v>147</v>
      </c>
      <c r="V85" s="118">
        <f>C85*Navires!$B$2</f>
        <v>0</v>
      </c>
      <c r="W85" s="118">
        <f>D85*Navires!$C$2</f>
        <v>0</v>
      </c>
      <c r="X85" s="118">
        <f>E85*Navires!$D$2</f>
        <v>0</v>
      </c>
      <c r="Y85" s="118">
        <f>F85*Navires!$E$2</f>
        <v>0</v>
      </c>
      <c r="Z85" s="118">
        <f>G85*Navires!$F$2</f>
        <v>3792</v>
      </c>
      <c r="AA85" s="118">
        <f>H85*Navires!$G$2</f>
        <v>0</v>
      </c>
      <c r="AB85" s="118">
        <f>I85*Navires!$H$2</f>
        <v>0</v>
      </c>
      <c r="AC85" s="118">
        <f>J85*Navires!$I$2</f>
        <v>0</v>
      </c>
      <c r="AD85" s="118">
        <f>K85*Navires!$J$2</f>
        <v>0</v>
      </c>
      <c r="AE85" s="118">
        <f>L85*Navires!$K$2</f>
        <v>0</v>
      </c>
      <c r="AF85" s="118">
        <f>M85*Navires!$L$2</f>
        <v>0</v>
      </c>
      <c r="AG85" s="118">
        <f>N85*Navires!$M$2</f>
        <v>0</v>
      </c>
      <c r="AH85" s="118">
        <f>O85*Navires!$N$2</f>
        <v>0</v>
      </c>
      <c r="AI85" s="118">
        <f>P85*Navires!$O$2</f>
        <v>0</v>
      </c>
      <c r="AJ85" s="118">
        <f>Q85*Navires!$P$2</f>
        <v>0</v>
      </c>
      <c r="AK85" s="35">
        <f>(SUM(V85:AJ85))*Générale!$B$13</f>
        <v>3792</v>
      </c>
    </row>
    <row r="86" spans="1:37" s="117" customFormat="1" x14ac:dyDescent="0.25">
      <c r="A86" s="117">
        <v>25</v>
      </c>
      <c r="B86" s="118" t="s">
        <v>148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32"/>
      <c r="R86" s="34">
        <f t="shared" si="16"/>
        <v>0</v>
      </c>
      <c r="U86" s="118" t="s">
        <v>148</v>
      </c>
      <c r="V86" s="118">
        <f>C86*Navires!$B$2</f>
        <v>0</v>
      </c>
      <c r="W86" s="118">
        <f>D86*Navires!$C$2</f>
        <v>0</v>
      </c>
      <c r="X86" s="118">
        <f>E86*Navires!$D$2</f>
        <v>0</v>
      </c>
      <c r="Y86" s="118">
        <f>F87*Navires!$E$2</f>
        <v>1880</v>
      </c>
      <c r="Z86" s="118">
        <f>G87*Navires!$F$2</f>
        <v>0</v>
      </c>
      <c r="AA86" s="118">
        <f>H87*Navires!$G$2</f>
        <v>2000</v>
      </c>
      <c r="AB86" s="118">
        <f>I87*Navires!$H$2</f>
        <v>2000</v>
      </c>
      <c r="AC86" s="118">
        <f>J86*Navires!$I$2</f>
        <v>0</v>
      </c>
      <c r="AD86" s="118">
        <f>K86*Navires!$J$2</f>
        <v>0</v>
      </c>
      <c r="AE86" s="118">
        <f>L86*Navires!$K$2</f>
        <v>0</v>
      </c>
      <c r="AF86" s="118">
        <f>M86*Navires!$L$2</f>
        <v>0</v>
      </c>
      <c r="AG86" s="118">
        <f>N86*Navires!$M$2</f>
        <v>0</v>
      </c>
      <c r="AH86" s="118">
        <f>O86*Navires!$N$2</f>
        <v>0</v>
      </c>
      <c r="AI86" s="118">
        <f>P86*Navires!$O$2</f>
        <v>0</v>
      </c>
      <c r="AJ86" s="118">
        <f>Q86*Navires!$P$2</f>
        <v>0</v>
      </c>
      <c r="AK86" s="35">
        <f>(SUM(V86:AJ86))*Générale!$B$13</f>
        <v>5880</v>
      </c>
    </row>
    <row r="87" spans="1:37" s="117" customFormat="1" x14ac:dyDescent="0.25">
      <c r="A87" s="117">
        <v>26</v>
      </c>
      <c r="B87" s="118" t="s">
        <v>149</v>
      </c>
      <c r="C87" s="118"/>
      <c r="D87" s="118"/>
      <c r="F87" s="118">
        <v>1</v>
      </c>
      <c r="G87" s="118"/>
      <c r="H87" s="118">
        <v>1</v>
      </c>
      <c r="I87" s="118">
        <v>1</v>
      </c>
      <c r="J87" s="118"/>
      <c r="K87" s="118"/>
      <c r="L87" s="118"/>
      <c r="M87" s="118"/>
      <c r="N87" s="118"/>
      <c r="O87" s="118"/>
      <c r="P87" s="118"/>
      <c r="Q87" s="32"/>
      <c r="R87" s="34">
        <f t="shared" ref="R87:R90" si="17">SUM(C87:Q87)</f>
        <v>3</v>
      </c>
      <c r="U87" s="118" t="s">
        <v>149</v>
      </c>
      <c r="V87" s="118">
        <f>C87*Navires!$B$2</f>
        <v>0</v>
      </c>
      <c r="W87" s="118">
        <f>D87*Navires!$C$2</f>
        <v>0</v>
      </c>
      <c r="X87" s="118">
        <f>E87*Navires!$D$2</f>
        <v>0</v>
      </c>
      <c r="Y87" s="118">
        <f>F88*Navires!$E$2</f>
        <v>0</v>
      </c>
      <c r="Z87" s="118">
        <f>G88*Navires!$F$2</f>
        <v>0</v>
      </c>
      <c r="AA87" s="118">
        <f>H88*Navires!$G$2</f>
        <v>0</v>
      </c>
      <c r="AB87" s="118">
        <f>I88*Navires!$H$2</f>
        <v>2000</v>
      </c>
      <c r="AC87" s="118">
        <f>J87*Navires!$I$2</f>
        <v>0</v>
      </c>
      <c r="AD87" s="118">
        <f>K87*Navires!$J$2</f>
        <v>0</v>
      </c>
      <c r="AE87" s="118">
        <f>L87*Navires!$K$2</f>
        <v>0</v>
      </c>
      <c r="AF87" s="118">
        <f>M87*Navires!$L$2</f>
        <v>0</v>
      </c>
      <c r="AG87" s="118">
        <f>N87*Navires!$M$2</f>
        <v>0</v>
      </c>
      <c r="AH87" s="118">
        <f>O87*Navires!$N$2</f>
        <v>0</v>
      </c>
      <c r="AI87" s="118">
        <f>P87*Navires!$O$2</f>
        <v>0</v>
      </c>
      <c r="AJ87" s="118">
        <f>Q87*Navires!$P$2</f>
        <v>0</v>
      </c>
      <c r="AK87" s="35">
        <f>(SUM(V87:AJ87))*Générale!$B$13</f>
        <v>2000</v>
      </c>
    </row>
    <row r="88" spans="1:37" s="117" customFormat="1" x14ac:dyDescent="0.25">
      <c r="A88" s="117">
        <v>27</v>
      </c>
      <c r="B88" s="118" t="s">
        <v>150</v>
      </c>
      <c r="C88" s="118">
        <v>1</v>
      </c>
      <c r="D88" s="118"/>
      <c r="E88" s="118"/>
      <c r="F88" s="118"/>
      <c r="G88" s="118"/>
      <c r="H88" s="118"/>
      <c r="I88" s="118">
        <v>1</v>
      </c>
      <c r="J88" s="118"/>
      <c r="K88" s="118"/>
      <c r="L88" s="118"/>
      <c r="M88" s="118"/>
      <c r="N88" s="118"/>
      <c r="O88" s="118"/>
      <c r="P88" s="118"/>
      <c r="Q88" s="32"/>
      <c r="R88" s="34">
        <f t="shared" si="17"/>
        <v>2</v>
      </c>
      <c r="U88" s="118" t="s">
        <v>150</v>
      </c>
      <c r="V88" s="118">
        <f>C88*Navires!$B$2</f>
        <v>1955</v>
      </c>
      <c r="W88" s="118">
        <f>D88*Navires!$C$2</f>
        <v>0</v>
      </c>
      <c r="X88" s="118">
        <f>E88*Navires!$D$2</f>
        <v>0</v>
      </c>
      <c r="Y88" s="118">
        <f>F88*Navires!$E$2</f>
        <v>0</v>
      </c>
      <c r="Z88" s="118">
        <f>G88*Navires!$F$2</f>
        <v>0</v>
      </c>
      <c r="AA88" s="118">
        <f>H88*Navires!$G$2</f>
        <v>0</v>
      </c>
      <c r="AB88" s="118">
        <f>I88*Navires!$H$2</f>
        <v>2000</v>
      </c>
      <c r="AC88" s="118">
        <f>J88*Navires!$I$2</f>
        <v>0</v>
      </c>
      <c r="AD88" s="118">
        <f>K88*Navires!$J$2</f>
        <v>0</v>
      </c>
      <c r="AE88" s="118">
        <f>L88*Navires!$K$2</f>
        <v>0</v>
      </c>
      <c r="AF88" s="118">
        <f>M88*Navires!$L$2</f>
        <v>0</v>
      </c>
      <c r="AG88" s="118">
        <f>N88*Navires!$M$2</f>
        <v>0</v>
      </c>
      <c r="AH88" s="118">
        <f>O88*Navires!$N$2</f>
        <v>0</v>
      </c>
      <c r="AI88" s="118">
        <f>P88*Navires!$O$2</f>
        <v>0</v>
      </c>
      <c r="AJ88" s="118">
        <f>Q88*Navires!$P$2</f>
        <v>0</v>
      </c>
      <c r="AK88" s="35">
        <f>(SUM(V88:AJ88))*Générale!$B$13</f>
        <v>3955</v>
      </c>
    </row>
    <row r="89" spans="1:37" s="117" customFormat="1" x14ac:dyDescent="0.25">
      <c r="A89" s="117">
        <v>28</v>
      </c>
      <c r="B89" s="118" t="s">
        <v>151</v>
      </c>
      <c r="C89" s="118"/>
      <c r="D89" s="118"/>
      <c r="F89" s="118"/>
      <c r="G89" s="118">
        <v>1</v>
      </c>
      <c r="H89" s="118"/>
      <c r="I89" s="118">
        <v>1</v>
      </c>
      <c r="J89" s="118"/>
      <c r="K89" s="118"/>
      <c r="L89" s="118"/>
      <c r="M89" s="118"/>
      <c r="N89" s="118"/>
      <c r="O89" s="118"/>
      <c r="P89" s="118"/>
      <c r="Q89" s="32"/>
      <c r="R89" s="34">
        <f t="shared" si="17"/>
        <v>2</v>
      </c>
      <c r="U89" s="118" t="s">
        <v>151</v>
      </c>
      <c r="V89" s="118">
        <f>C89*Navires!$B$2</f>
        <v>0</v>
      </c>
      <c r="W89" s="118">
        <f>D89*Navires!$C$2</f>
        <v>0</v>
      </c>
      <c r="X89" s="118">
        <f>E89*Navires!$D$2</f>
        <v>0</v>
      </c>
      <c r="Y89" s="118">
        <f>F89*Navires!$E$2</f>
        <v>0</v>
      </c>
      <c r="Z89" s="118">
        <f>G89*Navires!$F$2</f>
        <v>1896</v>
      </c>
      <c r="AA89" s="118">
        <f>H89*Navires!$G$2</f>
        <v>0</v>
      </c>
      <c r="AB89" s="118">
        <f>I89*Navires!$H$2</f>
        <v>2000</v>
      </c>
      <c r="AC89" s="118">
        <f>J89*Navires!$I$2</f>
        <v>0</v>
      </c>
      <c r="AD89" s="118">
        <f>K89*Navires!$J$2</f>
        <v>0</v>
      </c>
      <c r="AE89" s="118">
        <f>L89*Navires!$K$2</f>
        <v>0</v>
      </c>
      <c r="AF89" s="118">
        <f>M89*Navires!$L$2</f>
        <v>0</v>
      </c>
      <c r="AG89" s="118">
        <f>N89*Navires!$M$2</f>
        <v>0</v>
      </c>
      <c r="AH89" s="118">
        <f>O89*Navires!$N$2</f>
        <v>0</v>
      </c>
      <c r="AI89" s="118">
        <f>P89*Navires!$O$2</f>
        <v>0</v>
      </c>
      <c r="AJ89" s="118">
        <f>Q89*Navires!$P$2</f>
        <v>0</v>
      </c>
      <c r="AK89" s="35">
        <f>(SUM(V89:AJ89))*Générale!$B$13</f>
        <v>3896</v>
      </c>
    </row>
    <row r="90" spans="1:37" s="117" customFormat="1" x14ac:dyDescent="0.25">
      <c r="A90" s="117">
        <v>29</v>
      </c>
      <c r="B90" s="118" t="s">
        <v>152</v>
      </c>
      <c r="C90" s="118"/>
      <c r="D90" s="118"/>
      <c r="E90" s="118"/>
      <c r="F90" s="118"/>
      <c r="G90" s="118">
        <v>1</v>
      </c>
      <c r="H90" s="118"/>
      <c r="I90" s="118"/>
      <c r="J90" s="118"/>
      <c r="K90" s="118"/>
      <c r="L90" s="118"/>
      <c r="M90" s="118"/>
      <c r="N90" s="118"/>
      <c r="O90" s="118"/>
      <c r="P90" s="118"/>
      <c r="Q90" s="32"/>
      <c r="R90" s="34">
        <f t="shared" si="17"/>
        <v>1</v>
      </c>
      <c r="U90" s="118" t="s">
        <v>152</v>
      </c>
      <c r="V90" s="118">
        <f>C90*Navires!$B$2</f>
        <v>0</v>
      </c>
      <c r="W90" s="118">
        <f>D90*Navires!$C$2</f>
        <v>0</v>
      </c>
      <c r="X90" s="118">
        <f>E90*Navires!$D$2</f>
        <v>0</v>
      </c>
      <c r="Y90" s="118">
        <f>F90*Navires!$E$2</f>
        <v>0</v>
      </c>
      <c r="Z90" s="118">
        <f>G90*Navires!$F$2</f>
        <v>1896</v>
      </c>
      <c r="AA90" s="118">
        <f>H90*Navires!$G$2</f>
        <v>0</v>
      </c>
      <c r="AB90" s="118">
        <f>I90*Navires!$H$2</f>
        <v>0</v>
      </c>
      <c r="AC90" s="118">
        <f>J90*Navires!$I$2</f>
        <v>0</v>
      </c>
      <c r="AD90" s="118">
        <f>K90*Navires!$J$2</f>
        <v>0</v>
      </c>
      <c r="AE90" s="118">
        <f>L90*Navires!$K$2</f>
        <v>0</v>
      </c>
      <c r="AF90" s="118">
        <f>M90*Navires!$L$2</f>
        <v>0</v>
      </c>
      <c r="AG90" s="118">
        <f>N90*Navires!$M$2</f>
        <v>0</v>
      </c>
      <c r="AH90" s="118">
        <f>O90*Navires!$N$2</f>
        <v>0</v>
      </c>
      <c r="AI90" s="118">
        <f>P90*Navires!$O$2</f>
        <v>0</v>
      </c>
      <c r="AJ90" s="118">
        <f>Q90*Navires!$P$2</f>
        <v>0</v>
      </c>
      <c r="AK90" s="35">
        <f>(SUM(V90:AJ90))*Générale!$B$13</f>
        <v>1896</v>
      </c>
    </row>
    <row r="91" spans="1:37" s="117" customFormat="1" x14ac:dyDescent="0.25">
      <c r="A91" s="117">
        <v>30</v>
      </c>
      <c r="B91" s="118" t="s">
        <v>146</v>
      </c>
      <c r="C91" s="118"/>
      <c r="D91" s="118">
        <v>1</v>
      </c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32"/>
      <c r="R91" s="34">
        <f>SUM(C91:Q91)</f>
        <v>1</v>
      </c>
      <c r="U91" s="118" t="s">
        <v>146</v>
      </c>
      <c r="V91" s="118">
        <f>C91*Navires!$B$2</f>
        <v>0</v>
      </c>
      <c r="W91" s="118">
        <f>D91*Navires!$C$2</f>
        <v>1955</v>
      </c>
      <c r="X91" s="118">
        <f>E91*Navires!$D$2</f>
        <v>0</v>
      </c>
      <c r="Y91" s="118">
        <f>F91*Navires!$E$2</f>
        <v>0</v>
      </c>
      <c r="Z91" s="118">
        <f>G91*Navires!$F$2</f>
        <v>0</v>
      </c>
      <c r="AA91" s="118">
        <f>H91*Navires!$G$2</f>
        <v>0</v>
      </c>
      <c r="AB91" s="118">
        <f>I91*Navires!$H$2</f>
        <v>0</v>
      </c>
      <c r="AC91" s="118">
        <f>J91*Navires!$I$2</f>
        <v>0</v>
      </c>
      <c r="AD91" s="118">
        <f>K91*Navires!$J$2</f>
        <v>0</v>
      </c>
      <c r="AE91" s="118">
        <f>L91*Navires!$K$2</f>
        <v>0</v>
      </c>
      <c r="AF91" s="118">
        <f>M91*Navires!$L$2</f>
        <v>0</v>
      </c>
      <c r="AG91" s="118">
        <f>N91*Navires!$M$2</f>
        <v>0</v>
      </c>
      <c r="AH91" s="118">
        <f>O91*Navires!$N$2</f>
        <v>0</v>
      </c>
      <c r="AI91" s="118">
        <f>P91*Navires!$O$2</f>
        <v>0</v>
      </c>
      <c r="AJ91" s="118">
        <f>Q91*Navires!$P$2</f>
        <v>0</v>
      </c>
      <c r="AK91" s="35">
        <f>(SUM(V91:AJ91))*Générale!$B$13</f>
        <v>1955</v>
      </c>
    </row>
  </sheetData>
  <mergeCells count="16">
    <mergeCell ref="C72:Q73"/>
    <mergeCell ref="V72:AJ73"/>
    <mergeCell ref="C82:Q83"/>
    <mergeCell ref="U82:AK83"/>
    <mergeCell ref="BF1:BT2"/>
    <mergeCell ref="BE18:BU19"/>
    <mergeCell ref="C50:Q51"/>
    <mergeCell ref="V50:AJ51"/>
    <mergeCell ref="C60:Q61"/>
    <mergeCell ref="U60:AK61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"/>
  <sheetViews>
    <sheetView zoomScale="68" zoomScaleNormal="68" workbookViewId="0">
      <selection activeCell="S1" sqref="S1"/>
    </sheetView>
  </sheetViews>
  <sheetFormatPr baseColWidth="10" defaultColWidth="11.42578125" defaultRowHeight="15" x14ac:dyDescent="0.25"/>
  <cols>
    <col min="1" max="13" width="11.42578125" style="117"/>
    <col min="14" max="14" width="11.42578125" style="117" customWidth="1"/>
    <col min="15" max="16384" width="11.42578125" style="117"/>
  </cols>
  <sheetData>
    <row r="1" spans="1:35" ht="17.25" thickTop="1" thickBot="1" x14ac:dyDescent="0.3">
      <c r="A1" s="140" t="s">
        <v>67</v>
      </c>
      <c r="B1" s="142"/>
      <c r="J1" s="140" t="s">
        <v>124</v>
      </c>
      <c r="K1" s="142"/>
      <c r="S1" s="140" t="s">
        <v>254</v>
      </c>
      <c r="T1" s="142"/>
      <c r="AB1" s="140" t="s">
        <v>104</v>
      </c>
      <c r="AC1" s="142"/>
    </row>
    <row r="2" spans="1:35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86" t="s">
        <v>74</v>
      </c>
      <c r="Q2" s="86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86" t="s">
        <v>74</v>
      </c>
      <c r="Z2" s="86" t="s">
        <v>75</v>
      </c>
      <c r="AB2" s="124"/>
      <c r="AC2" s="125">
        <v>2014</v>
      </c>
      <c r="AD2" s="125">
        <v>2015</v>
      </c>
      <c r="AE2" s="125">
        <v>2016</v>
      </c>
      <c r="AF2" s="125">
        <v>2017</v>
      </c>
      <c r="AG2" s="126" t="s">
        <v>1</v>
      </c>
      <c r="AH2" s="86" t="s">
        <v>74</v>
      </c>
      <c r="AI2" s="86" t="s">
        <v>75</v>
      </c>
    </row>
    <row r="3" spans="1:35" x14ac:dyDescent="0.25">
      <c r="A3" s="119" t="s">
        <v>2</v>
      </c>
      <c r="B3" s="134">
        <f>'AJACCIO 2014'!AK4+'AJACCIO 2014'!AK21</f>
        <v>150548</v>
      </c>
      <c r="C3" s="134">
        <f>'AJACCIO 2015'!AK4+'AJACCIO 2015'!AK21</f>
        <v>132097</v>
      </c>
      <c r="D3" s="134">
        <f>'AJACCIO 2016'!AK4+'AJACCIO 2016'!AK21</f>
        <v>134144</v>
      </c>
      <c r="E3" s="134">
        <f>'AJACCIO 2017'!AK4+'AJACCIO 2017'!AK21</f>
        <v>131039</v>
      </c>
      <c r="F3" s="127">
        <f>AVERAGE(B3:E3)</f>
        <v>136957</v>
      </c>
      <c r="G3" s="127">
        <f>STDEVA(B3:E3)</f>
        <v>9151.8772937578215</v>
      </c>
      <c r="H3" s="127">
        <f t="shared" ref="H3:H14" si="0">STDEVA(B3:E3)</f>
        <v>9151.8772937578215</v>
      </c>
      <c r="J3" s="119" t="s">
        <v>2</v>
      </c>
      <c r="K3" s="41">
        <f t="shared" ref="K3:N14" si="1">B22/B3</f>
        <v>0.12128357733081808</v>
      </c>
      <c r="L3" s="41">
        <f t="shared" si="1"/>
        <v>0.11380273586833918</v>
      </c>
      <c r="M3" s="41">
        <f t="shared" si="1"/>
        <v>0.11814915314885496</v>
      </c>
      <c r="N3" s="41">
        <f t="shared" si="1"/>
        <v>8.6386495623440349E-2</v>
      </c>
      <c r="O3" s="122">
        <f>AVERAGE(K3:N3)</f>
        <v>0.10990549049286315</v>
      </c>
      <c r="P3" s="123">
        <f>MAX(K3:N3)</f>
        <v>0.12128357733081808</v>
      </c>
      <c r="Q3" s="123">
        <f>MIN(K3:N3)</f>
        <v>8.6386495623440349E-2</v>
      </c>
      <c r="S3" s="119" t="s">
        <v>2</v>
      </c>
      <c r="T3" s="41">
        <f t="shared" ref="T3:T12" si="2">(B74+B58)/(B3+B106)</f>
        <v>0.14054206232367725</v>
      </c>
      <c r="U3" s="41">
        <f t="shared" ref="U3:U12" si="3">(C74+C58)/(C3+C106)</f>
        <v>0.17370474601926625</v>
      </c>
      <c r="V3" s="41">
        <f t="shared" ref="V3:V12" si="4">(D74+D58)/(D3+D106)</f>
        <v>0.15835136781266604</v>
      </c>
      <c r="W3" s="41">
        <f t="shared" ref="W3:W12" si="5">(E74+E58)/(E3+E106)</f>
        <v>0.13980038970662229</v>
      </c>
      <c r="X3" s="122">
        <f>AVERAGE(T3:W3)</f>
        <v>0.15309964146555793</v>
      </c>
      <c r="Y3" s="123">
        <f>MAX(T3:W3)</f>
        <v>0.17370474601926625</v>
      </c>
      <c r="Z3" s="123">
        <f>MIN(T3:W3)</f>
        <v>0.13980038970662229</v>
      </c>
      <c r="AB3" s="119" t="s">
        <v>2</v>
      </c>
      <c r="AC3" s="90">
        <f>('AJACCIO 2014'!S4+'AJACCIO 2014'!S21)/2</f>
        <v>8.4650112866817153</v>
      </c>
      <c r="AD3" s="90">
        <f>('AJACCIO 2015'!S4+'AJACCIO 2015'!S21)/2</f>
        <v>7.336343115124154</v>
      </c>
      <c r="AE3" s="90">
        <f>('AJACCIO 2016'!S4+'AJACCIO 2016'!S21)/2</f>
        <v>7.4492099322799099</v>
      </c>
      <c r="AF3" s="90">
        <f>('AJACCIO 2017'!S4+'AJACCIO 2017'!S21)/2</f>
        <v>7.2234762979683982</v>
      </c>
      <c r="AG3" s="92">
        <f>AVERAGE(AC3:AF3)</f>
        <v>7.6185101580135441</v>
      </c>
      <c r="AH3" s="135">
        <f>MAX(AC3:AF3)</f>
        <v>8.4650112866817153</v>
      </c>
      <c r="AI3" s="135">
        <f>MIN(AC3:AF3)</f>
        <v>7.2234762979683982</v>
      </c>
    </row>
    <row r="4" spans="1:35" x14ac:dyDescent="0.25">
      <c r="A4" s="119" t="s">
        <v>3</v>
      </c>
      <c r="B4" s="134">
        <f>'AJACCIO 2014'!AK5+'AJACCIO 2014'!AK22</f>
        <v>109921</v>
      </c>
      <c r="C4" s="134">
        <f>'AJACCIO 2015'!AK5+'AJACCIO 2015'!AK22</f>
        <v>111720</v>
      </c>
      <c r="D4" s="134">
        <f>'AJACCIO 2016'!AK5+'AJACCIO 2016'!AK22</f>
        <v>125762</v>
      </c>
      <c r="E4" s="134">
        <f>'AJACCIO 2017'!AK5+'AJACCIO 2017'!AK22</f>
        <v>116310</v>
      </c>
      <c r="F4" s="127">
        <f t="shared" ref="F4:F14" si="6">AVERAGE(B4:E4)</f>
        <v>115928.25</v>
      </c>
      <c r="G4" s="127">
        <f t="shared" ref="G4:G14" si="7">STDEVA(B4:E4)</f>
        <v>7086.2494252366441</v>
      </c>
      <c r="H4" s="127">
        <f t="shared" si="0"/>
        <v>7086.2494252366441</v>
      </c>
      <c r="J4" s="119" t="s">
        <v>3</v>
      </c>
      <c r="K4" s="41">
        <f t="shared" si="1"/>
        <v>7.0104893514433095E-2</v>
      </c>
      <c r="L4" s="41">
        <f t="shared" si="1"/>
        <v>0.11054421768707483</v>
      </c>
      <c r="M4" s="41">
        <f t="shared" si="1"/>
        <v>0.10943687282326935</v>
      </c>
      <c r="N4" s="41">
        <f t="shared" si="1"/>
        <v>9.8624365918665635E-2</v>
      </c>
      <c r="O4" s="122">
        <f t="shared" ref="O4:O14" si="8">AVERAGE(K4:N4)</f>
        <v>9.7177587485860722E-2</v>
      </c>
      <c r="P4" s="123">
        <f t="shared" ref="P4:P14" si="9">MAX(K4:N4)</f>
        <v>0.11054421768707483</v>
      </c>
      <c r="Q4" s="123">
        <f t="shared" ref="Q4:Q14" si="10">MIN(K4:N4)</f>
        <v>7.0104893514433095E-2</v>
      </c>
      <c r="S4" s="119" t="s">
        <v>3</v>
      </c>
      <c r="T4" s="41">
        <f t="shared" si="2"/>
        <v>0.15400919208417213</v>
      </c>
      <c r="U4" s="41">
        <f t="shared" si="3"/>
        <v>0.17217421361908053</v>
      </c>
      <c r="V4" s="41">
        <f t="shared" si="4"/>
        <v>0.17536184111953493</v>
      </c>
      <c r="W4" s="41">
        <f t="shared" si="5"/>
        <v>0.17067155552533436</v>
      </c>
      <c r="X4" s="122">
        <f t="shared" ref="X4:X14" si="11">AVERAGE(T4:W4)</f>
        <v>0.16805420058703047</v>
      </c>
      <c r="Y4" s="123">
        <f t="shared" ref="Y4:Y14" si="12">MAX(T4:W4)</f>
        <v>0.17536184111953493</v>
      </c>
      <c r="Z4" s="123">
        <f t="shared" ref="Z4:Z14" si="13">MIN(T4:W4)</f>
        <v>0.15400919208417213</v>
      </c>
      <c r="AB4" s="119" t="s">
        <v>3</v>
      </c>
      <c r="AC4" s="90">
        <f>('AJACCIO 2014'!S5+'AJACCIO 2014'!S22)/2</f>
        <v>7</v>
      </c>
      <c r="AD4" s="90">
        <f>('AJACCIO 2015'!S5+'AJACCIO 2015'!S22)/2</f>
        <v>7.125</v>
      </c>
      <c r="AE4" s="90">
        <f>('AJACCIO 2016'!S5+'AJACCIO 2016'!S22)/2</f>
        <v>7.75</v>
      </c>
      <c r="AF4" s="90">
        <f>('AJACCIO 2017'!S5+'AJACCIO 2017'!S22)/2</f>
        <v>7.125</v>
      </c>
      <c r="AG4" s="92">
        <f t="shared" ref="AG4:AG14" si="14">AVERAGE(AC4:AF4)</f>
        <v>7.25</v>
      </c>
      <c r="AH4" s="135">
        <f t="shared" ref="AH4:AH14" si="15">MAX(AC4:AF4)</f>
        <v>7.75</v>
      </c>
      <c r="AI4" s="135">
        <f t="shared" ref="AI4:AI14" si="16">MIN(AC4:AF4)</f>
        <v>7</v>
      </c>
    </row>
    <row r="5" spans="1:35" x14ac:dyDescent="0.25">
      <c r="A5" s="119" t="s">
        <v>4</v>
      </c>
      <c r="B5" s="134">
        <f>'AJACCIO 2014'!AK6+'AJACCIO 2014'!AK23</f>
        <v>122995</v>
      </c>
      <c r="C5" s="134">
        <f>'AJACCIO 2015'!AK6+'AJACCIO 2015'!AK23</f>
        <v>124413</v>
      </c>
      <c r="D5" s="134">
        <f>'AJACCIO 2016'!AK6+'AJACCIO 2016'!AK23</f>
        <v>132905</v>
      </c>
      <c r="E5" s="134">
        <f>'AJACCIO 2017'!AK6+'AJACCIO 2017'!AK23</f>
        <v>127847</v>
      </c>
      <c r="F5" s="127">
        <f t="shared" si="6"/>
        <v>127040</v>
      </c>
      <c r="G5" s="127">
        <f t="shared" si="7"/>
        <v>4408.8028609438488</v>
      </c>
      <c r="H5" s="127">
        <f t="shared" si="0"/>
        <v>4408.8028609438488</v>
      </c>
      <c r="J5" s="119" t="s">
        <v>4</v>
      </c>
      <c r="K5" s="41">
        <f t="shared" si="1"/>
        <v>8.8832879385340874E-2</v>
      </c>
      <c r="L5" s="41">
        <f t="shared" si="1"/>
        <v>0.11469058699653573</v>
      </c>
      <c r="M5" s="41">
        <f t="shared" si="1"/>
        <v>0.11154584101425831</v>
      </c>
      <c r="N5" s="41">
        <f t="shared" si="1"/>
        <v>0.10064373821833911</v>
      </c>
      <c r="O5" s="122">
        <f t="shared" si="8"/>
        <v>0.10392826140361851</v>
      </c>
      <c r="P5" s="123">
        <f t="shared" si="9"/>
        <v>0.11469058699653573</v>
      </c>
      <c r="Q5" s="123">
        <f t="shared" si="10"/>
        <v>8.8832879385340874E-2</v>
      </c>
      <c r="S5" s="119" t="s">
        <v>4</v>
      </c>
      <c r="T5" s="41">
        <f t="shared" si="2"/>
        <v>0.18627985750553883</v>
      </c>
      <c r="U5" s="41">
        <f t="shared" si="3"/>
        <v>0.19526094539959651</v>
      </c>
      <c r="V5" s="41">
        <f t="shared" si="4"/>
        <v>0.1778810037423241</v>
      </c>
      <c r="W5" s="41">
        <f t="shared" si="5"/>
        <v>0.16740774152195331</v>
      </c>
      <c r="X5" s="122">
        <f t="shared" si="11"/>
        <v>0.18170738704235317</v>
      </c>
      <c r="Y5" s="123">
        <f t="shared" si="12"/>
        <v>0.19526094539959651</v>
      </c>
      <c r="Z5" s="123">
        <f t="shared" si="13"/>
        <v>0.16740774152195331</v>
      </c>
      <c r="AB5" s="119" t="s">
        <v>4</v>
      </c>
      <c r="AC5" s="90">
        <f>('AJACCIO 2014'!S6+'AJACCIO 2014'!S23)/2</f>
        <v>6.9977426636568856</v>
      </c>
      <c r="AD5" s="90">
        <f>('AJACCIO 2015'!S6+'AJACCIO 2015'!S23)/2</f>
        <v>6.9977426636568856</v>
      </c>
      <c r="AE5" s="90">
        <f>('AJACCIO 2016'!S6+'AJACCIO 2016'!S23)/2</f>
        <v>7.4492099322799099</v>
      </c>
      <c r="AF5" s="90">
        <f>('AJACCIO 2017'!S6+'AJACCIO 2017'!S23)/2</f>
        <v>7.1106094808126414</v>
      </c>
      <c r="AG5" s="92">
        <f t="shared" si="14"/>
        <v>7.1388261851015802</v>
      </c>
      <c r="AH5" s="135">
        <f t="shared" si="15"/>
        <v>7.4492099322799099</v>
      </c>
      <c r="AI5" s="135">
        <f t="shared" si="16"/>
        <v>6.9977426636568856</v>
      </c>
    </row>
    <row r="6" spans="1:35" x14ac:dyDescent="0.25">
      <c r="A6" s="119" t="s">
        <v>5</v>
      </c>
      <c r="B6" s="134">
        <f>'AJACCIO 2014'!AK7+'AJACCIO 2014'!AK24</f>
        <v>162034</v>
      </c>
      <c r="C6" s="134">
        <f>'AJACCIO 2015'!AK7+'AJACCIO 2015'!AK24</f>
        <v>163405</v>
      </c>
      <c r="D6" s="134">
        <f>'AJACCIO 2016'!AK7+'AJACCIO 2016'!AK24</f>
        <v>194071</v>
      </c>
      <c r="E6" s="134">
        <f>'AJACCIO 2017'!AK7+'AJACCIO 2017'!AK24</f>
        <v>177441</v>
      </c>
      <c r="F6" s="127">
        <f t="shared" si="6"/>
        <v>174237.75</v>
      </c>
      <c r="G6" s="127">
        <f t="shared" si="7"/>
        <v>14943.210306021929</v>
      </c>
      <c r="H6" s="127">
        <f t="shared" si="0"/>
        <v>14943.210306021929</v>
      </c>
      <c r="J6" s="119" t="s">
        <v>5</v>
      </c>
      <c r="K6" s="41">
        <f t="shared" si="1"/>
        <v>0.20340792673142674</v>
      </c>
      <c r="L6" s="41">
        <f t="shared" si="1"/>
        <v>0.2398029436063768</v>
      </c>
      <c r="M6" s="41">
        <f t="shared" si="1"/>
        <v>0.24361702675824826</v>
      </c>
      <c r="N6" s="41">
        <f t="shared" si="1"/>
        <v>0.29561375330391509</v>
      </c>
      <c r="O6" s="122">
        <f t="shared" si="8"/>
        <v>0.24561041259999172</v>
      </c>
      <c r="P6" s="123">
        <f t="shared" si="9"/>
        <v>0.29561375330391509</v>
      </c>
      <c r="Q6" s="123">
        <f t="shared" si="10"/>
        <v>0.20340792673142674</v>
      </c>
      <c r="S6" s="119" t="s">
        <v>5</v>
      </c>
      <c r="T6" s="41">
        <f t="shared" si="2"/>
        <v>0.30243378265859533</v>
      </c>
      <c r="U6" s="41">
        <f t="shared" si="3"/>
        <v>0.32487097640285195</v>
      </c>
      <c r="V6" s="41">
        <f t="shared" si="4"/>
        <v>0.30590652474007896</v>
      </c>
      <c r="W6" s="41">
        <f t="shared" si="5"/>
        <v>0.3926829141307121</v>
      </c>
      <c r="X6" s="122">
        <f t="shared" si="11"/>
        <v>0.33147354948305963</v>
      </c>
      <c r="Y6" s="123">
        <f t="shared" si="12"/>
        <v>0.3926829141307121</v>
      </c>
      <c r="Z6" s="123">
        <f t="shared" si="13"/>
        <v>0.30243378265859533</v>
      </c>
      <c r="AB6" s="119" t="s">
        <v>5</v>
      </c>
      <c r="AC6" s="90">
        <f>('AJACCIO 2014'!S7+'AJACCIO 2014'!S24)/2</f>
        <v>9.4626168224299061</v>
      </c>
      <c r="AD6" s="90">
        <f>('AJACCIO 2015'!S7+'AJACCIO 2015'!S24)/2</f>
        <v>9.5794392523364476</v>
      </c>
      <c r="AE6" s="90">
        <f>('AJACCIO 2016'!S7+'AJACCIO 2016'!S24)/2</f>
        <v>11.214953271028037</v>
      </c>
      <c r="AF6" s="90">
        <f>('AJACCIO 2017'!S7+'AJACCIO 2017'!S24)/2</f>
        <v>10.2803738317757</v>
      </c>
      <c r="AG6" s="92">
        <f t="shared" si="14"/>
        <v>10.134345794392523</v>
      </c>
      <c r="AH6" s="135">
        <f t="shared" si="15"/>
        <v>11.214953271028037</v>
      </c>
      <c r="AI6" s="135">
        <f t="shared" si="16"/>
        <v>9.4626168224299061</v>
      </c>
    </row>
    <row r="7" spans="1:35" x14ac:dyDescent="0.25">
      <c r="A7" s="119" t="s">
        <v>6</v>
      </c>
      <c r="B7" s="134">
        <f>'AJACCIO 2014'!AK8+'AJACCIO 2014'!AK25</f>
        <v>209788</v>
      </c>
      <c r="C7" s="134">
        <f>'AJACCIO 2015'!AK8+'AJACCIO 2015'!AK25</f>
        <v>199506</v>
      </c>
      <c r="D7" s="134">
        <f>'AJACCIO 2016'!AK8+'AJACCIO 2016'!AK25</f>
        <v>175899</v>
      </c>
      <c r="E7" s="134">
        <f>'AJACCIO 2017'!AK8+'AJACCIO 2017'!AK25</f>
        <v>181781</v>
      </c>
      <c r="F7" s="127">
        <f t="shared" si="6"/>
        <v>191743.5</v>
      </c>
      <c r="G7" s="127">
        <f t="shared" si="7"/>
        <v>15664.822299236805</v>
      </c>
      <c r="H7" s="127">
        <f t="shared" si="0"/>
        <v>15664.822299236805</v>
      </c>
      <c r="J7" s="119" t="s">
        <v>6</v>
      </c>
      <c r="K7" s="41">
        <f t="shared" si="1"/>
        <v>0.28059755562758593</v>
      </c>
      <c r="L7" s="41">
        <f t="shared" si="1"/>
        <v>0.36529728429220176</v>
      </c>
      <c r="M7" s="41">
        <f t="shared" si="1"/>
        <v>0.33087169341497108</v>
      </c>
      <c r="N7" s="41">
        <f t="shared" si="1"/>
        <v>0.29756685242132014</v>
      </c>
      <c r="O7" s="122">
        <f t="shared" si="8"/>
        <v>0.31858334643901975</v>
      </c>
      <c r="P7" s="123">
        <f t="shared" si="9"/>
        <v>0.36529728429220176</v>
      </c>
      <c r="Q7" s="123">
        <f t="shared" si="10"/>
        <v>0.28059755562758593</v>
      </c>
      <c r="S7" s="119" t="s">
        <v>6</v>
      </c>
      <c r="T7" s="41">
        <f t="shared" si="2"/>
        <v>0.40227459600959842</v>
      </c>
      <c r="U7" s="41">
        <f t="shared" si="3"/>
        <v>0.42813124799847668</v>
      </c>
      <c r="V7" s="41">
        <f t="shared" si="4"/>
        <v>0.39127765698938483</v>
      </c>
      <c r="W7" s="41">
        <f t="shared" si="5"/>
        <v>0.35106091947954715</v>
      </c>
      <c r="X7" s="122">
        <f t="shared" si="11"/>
        <v>0.39318610511925173</v>
      </c>
      <c r="Y7" s="123">
        <f t="shared" si="12"/>
        <v>0.42813124799847668</v>
      </c>
      <c r="Z7" s="123">
        <f t="shared" si="13"/>
        <v>0.35106091947954715</v>
      </c>
      <c r="AB7" s="119" t="s">
        <v>6</v>
      </c>
      <c r="AC7" s="90">
        <f>('AJACCIO 2014'!S8+'AJACCIO 2014'!S25)/2</f>
        <v>11.851015801354404</v>
      </c>
      <c r="AD7" s="90">
        <f>('AJACCIO 2015'!S8+'AJACCIO 2015'!S25)/2</f>
        <v>11.286681715575622</v>
      </c>
      <c r="AE7" s="90">
        <f>('AJACCIO 2016'!S8+'AJACCIO 2016'!S25)/2</f>
        <v>9.7065462753950342</v>
      </c>
      <c r="AF7" s="90">
        <f>('AJACCIO 2017'!S8+'AJACCIO 2017'!S25)/2</f>
        <v>10.045146726862303</v>
      </c>
      <c r="AG7" s="92">
        <f t="shared" si="14"/>
        <v>10.72234762979684</v>
      </c>
      <c r="AH7" s="135">
        <f t="shared" si="15"/>
        <v>11.851015801354404</v>
      </c>
      <c r="AI7" s="135">
        <f t="shared" si="16"/>
        <v>9.7065462753950342</v>
      </c>
    </row>
    <row r="8" spans="1:35" x14ac:dyDescent="0.25">
      <c r="A8" s="119" t="s">
        <v>7</v>
      </c>
      <c r="B8" s="134">
        <f>'AJACCIO 2014'!AK9+'AJACCIO 2014'!AK26</f>
        <v>219068</v>
      </c>
      <c r="C8" s="134">
        <f>'AJACCIO 2015'!AK9+'AJACCIO 2015'!AK26</f>
        <v>230421</v>
      </c>
      <c r="D8" s="134">
        <f>'AJACCIO 2016'!AK9+'AJACCIO 2016'!AK26</f>
        <v>211548</v>
      </c>
      <c r="E8" s="134">
        <f>'AJACCIO 2017'!AK9+'AJACCIO 2017'!AK26</f>
        <v>193601</v>
      </c>
      <c r="F8" s="127">
        <f t="shared" si="6"/>
        <v>213659.5</v>
      </c>
      <c r="G8" s="127">
        <f t="shared" si="7"/>
        <v>15459.642179990238</v>
      </c>
      <c r="H8" s="127">
        <f t="shared" si="0"/>
        <v>15459.642179990238</v>
      </c>
      <c r="J8" s="119" t="s">
        <v>7</v>
      </c>
      <c r="K8" s="41">
        <f t="shared" si="1"/>
        <v>0.31834407581207663</v>
      </c>
      <c r="L8" s="41">
        <f t="shared" si="1"/>
        <v>0.31121729356265271</v>
      </c>
      <c r="M8" s="41">
        <f t="shared" si="1"/>
        <v>0.31560685990886228</v>
      </c>
      <c r="N8" s="41">
        <f t="shared" si="1"/>
        <v>0.35540105681272305</v>
      </c>
      <c r="O8" s="122">
        <f t="shared" si="8"/>
        <v>0.32514232152407863</v>
      </c>
      <c r="P8" s="123">
        <f t="shared" si="9"/>
        <v>0.35540105681272305</v>
      </c>
      <c r="Q8" s="123">
        <f t="shared" si="10"/>
        <v>0.31121729356265271</v>
      </c>
      <c r="S8" s="119" t="s">
        <v>7</v>
      </c>
      <c r="T8" s="41">
        <f t="shared" si="2"/>
        <v>0.40295562015650971</v>
      </c>
      <c r="U8" s="41">
        <f t="shared" si="3"/>
        <v>0.36308862879298104</v>
      </c>
      <c r="V8" s="41">
        <f t="shared" si="4"/>
        <v>0.37520338431500161</v>
      </c>
      <c r="W8" s="41">
        <f t="shared" si="5"/>
        <v>0.40013944938621143</v>
      </c>
      <c r="X8" s="122">
        <f t="shared" si="11"/>
        <v>0.38534677066267592</v>
      </c>
      <c r="Y8" s="123">
        <f t="shared" si="12"/>
        <v>0.40295562015650971</v>
      </c>
      <c r="Z8" s="123">
        <f t="shared" si="13"/>
        <v>0.36308862879298104</v>
      </c>
      <c r="AB8" s="119" t="s">
        <v>7</v>
      </c>
      <c r="AC8" s="90">
        <f>('AJACCIO 2014'!S9+'AJACCIO 2014'!S26)/2</f>
        <v>13.317757009345794</v>
      </c>
      <c r="AD8" s="90">
        <f>('AJACCIO 2015'!S9+'AJACCIO 2015'!S26)/2</f>
        <v>13.901869158878505</v>
      </c>
      <c r="AE8" s="90">
        <f>('AJACCIO 2016'!S9+'AJACCIO 2016'!S26)/2</f>
        <v>12.733644859813083</v>
      </c>
      <c r="AF8" s="90">
        <f>('AJACCIO 2017'!S9+'AJACCIO 2017'!S26)/2</f>
        <v>11.448598130841122</v>
      </c>
      <c r="AG8" s="92">
        <f t="shared" si="14"/>
        <v>12.850467289719624</v>
      </c>
      <c r="AH8" s="135">
        <f t="shared" si="15"/>
        <v>13.901869158878505</v>
      </c>
      <c r="AI8" s="135">
        <f t="shared" si="16"/>
        <v>11.448598130841122</v>
      </c>
    </row>
    <row r="9" spans="1:35" x14ac:dyDescent="0.25">
      <c r="A9" s="119" t="s">
        <v>8</v>
      </c>
      <c r="B9" s="134">
        <f>'AJACCIO 2014'!AK10+'AJACCIO 2014'!AK27</f>
        <v>241539</v>
      </c>
      <c r="C9" s="134">
        <f>'AJACCIO 2015'!AK10+'AJACCIO 2015'!AK27</f>
        <v>231733</v>
      </c>
      <c r="D9" s="134">
        <f>'AJACCIO 2016'!AK10+'AJACCIO 2016'!AK27</f>
        <v>243424</v>
      </c>
      <c r="E9" s="134">
        <f>'AJACCIO 2017'!AK10+'AJACCIO 2017'!AK27</f>
        <v>260800</v>
      </c>
      <c r="F9" s="127">
        <f t="shared" si="6"/>
        <v>244374</v>
      </c>
      <c r="G9" s="127">
        <f t="shared" si="7"/>
        <v>12090.603541593779</v>
      </c>
      <c r="H9" s="127">
        <f t="shared" si="0"/>
        <v>12090.603541593779</v>
      </c>
      <c r="I9" s="45"/>
      <c r="J9" s="119" t="s">
        <v>8</v>
      </c>
      <c r="K9" s="41">
        <f t="shared" si="1"/>
        <v>0.50483772806875904</v>
      </c>
      <c r="L9" s="41">
        <f t="shared" si="1"/>
        <v>0.54882990338018323</v>
      </c>
      <c r="M9" s="41">
        <f t="shared" si="1"/>
        <v>0.51725384514263184</v>
      </c>
      <c r="N9" s="41">
        <f t="shared" si="1"/>
        <v>0.49976226993865031</v>
      </c>
      <c r="O9" s="122">
        <f t="shared" si="8"/>
        <v>0.51767093663255614</v>
      </c>
      <c r="P9" s="123">
        <f t="shared" si="9"/>
        <v>0.54882990338018323</v>
      </c>
      <c r="Q9" s="123">
        <f t="shared" si="10"/>
        <v>0.49976226993865031</v>
      </c>
      <c r="S9" s="119" t="s">
        <v>8</v>
      </c>
      <c r="T9" s="41">
        <f t="shared" si="2"/>
        <v>0.58069340371051104</v>
      </c>
      <c r="U9" s="41">
        <f t="shared" si="3"/>
        <v>0.65423281330361738</v>
      </c>
      <c r="V9" s="41">
        <f t="shared" si="4"/>
        <v>0.61530946963667632</v>
      </c>
      <c r="W9" s="41">
        <f t="shared" si="5"/>
        <v>0.62625672411404343</v>
      </c>
      <c r="X9" s="146">
        <f t="shared" si="11"/>
        <v>0.61912310269121207</v>
      </c>
      <c r="Y9" s="123">
        <f t="shared" si="12"/>
        <v>0.65423281330361738</v>
      </c>
      <c r="Z9" s="123">
        <f t="shared" si="13"/>
        <v>0.58069340371051104</v>
      </c>
      <c r="AB9" s="119" t="s">
        <v>8</v>
      </c>
      <c r="AC9" s="90">
        <f>('AJACCIO 2014'!S10+'AJACCIO 2014'!S27)/2</f>
        <v>13.995485327313771</v>
      </c>
      <c r="AD9" s="90">
        <f>('AJACCIO 2015'!S10+'AJACCIO 2015'!S27)/2</f>
        <v>13.431151241534991</v>
      </c>
      <c r="AE9" s="90">
        <f>('AJACCIO 2016'!S10+'AJACCIO 2016'!S27)/2</f>
        <v>14.221218961625283</v>
      </c>
      <c r="AF9" s="90">
        <f>('AJACCIO 2017'!S10+'AJACCIO 2017'!S27)/2</f>
        <v>15.124153498871333</v>
      </c>
      <c r="AG9" s="92">
        <f t="shared" si="14"/>
        <v>14.193002257336346</v>
      </c>
      <c r="AH9" s="135">
        <f t="shared" si="15"/>
        <v>15.124153498871333</v>
      </c>
      <c r="AI9" s="135">
        <f t="shared" si="16"/>
        <v>13.431151241534991</v>
      </c>
    </row>
    <row r="10" spans="1:35" x14ac:dyDescent="0.25">
      <c r="A10" s="119" t="s">
        <v>9</v>
      </c>
      <c r="B10" s="134">
        <f>'AJACCIO 2014'!AK11+'AJACCIO 2014'!AK28</f>
        <v>235315</v>
      </c>
      <c r="C10" s="134">
        <f>'AJACCIO 2015'!AK11+'AJACCIO 2015'!AK28</f>
        <v>239268</v>
      </c>
      <c r="D10" s="134">
        <f>'AJACCIO 2016'!AK11+'AJACCIO 2016'!AK28</f>
        <v>256419</v>
      </c>
      <c r="E10" s="134">
        <f>'AJACCIO 2017'!AK11+'AJACCIO 2017'!AK28</f>
        <v>257170</v>
      </c>
      <c r="F10" s="127">
        <f t="shared" si="6"/>
        <v>247043</v>
      </c>
      <c r="G10" s="127">
        <f t="shared" si="7"/>
        <v>11379.251791455066</v>
      </c>
      <c r="H10" s="127">
        <f t="shared" si="0"/>
        <v>11379.251791455066</v>
      </c>
      <c r="J10" s="119" t="s">
        <v>9</v>
      </c>
      <c r="K10" s="41">
        <f t="shared" si="1"/>
        <v>0.62303720544801644</v>
      </c>
      <c r="L10" s="41">
        <f t="shared" si="1"/>
        <v>0.68352224284066398</v>
      </c>
      <c r="M10" s="41">
        <f t="shared" si="1"/>
        <v>0.62533977591364132</v>
      </c>
      <c r="N10" s="41">
        <f t="shared" si="1"/>
        <v>0.60015942761597385</v>
      </c>
      <c r="O10" s="122">
        <f t="shared" si="8"/>
        <v>0.63301466295457387</v>
      </c>
      <c r="P10" s="123">
        <f t="shared" si="9"/>
        <v>0.68352224284066398</v>
      </c>
      <c r="Q10" s="123">
        <f t="shared" si="10"/>
        <v>0.60015942761597385</v>
      </c>
      <c r="S10" s="119" t="s">
        <v>9</v>
      </c>
      <c r="T10" s="41">
        <f t="shared" si="2"/>
        <v>0.79553941060925881</v>
      </c>
      <c r="U10" s="41">
        <f t="shared" si="3"/>
        <v>0.8206900246437373</v>
      </c>
      <c r="V10" s="41">
        <f t="shared" si="4"/>
        <v>0.74652161393316308</v>
      </c>
      <c r="W10" s="41">
        <f t="shared" si="5"/>
        <v>0.73939480545235026</v>
      </c>
      <c r="X10" s="146">
        <f t="shared" si="11"/>
        <v>0.77553646365962736</v>
      </c>
      <c r="Y10" s="123">
        <f t="shared" si="12"/>
        <v>0.8206900246437373</v>
      </c>
      <c r="Z10" s="123">
        <f t="shared" si="13"/>
        <v>0.73939480545235026</v>
      </c>
      <c r="AB10" s="119" t="s">
        <v>9</v>
      </c>
      <c r="AC10" s="90">
        <f>('AJACCIO 2014'!S11+'AJACCIO 2014'!S28)/2</f>
        <v>13.656884875846503</v>
      </c>
      <c r="AD10" s="90">
        <f>('AJACCIO 2015'!S11+'AJACCIO 2015'!S28)/2</f>
        <v>13.882618510158014</v>
      </c>
      <c r="AE10" s="90">
        <f>('AJACCIO 2016'!S11+'AJACCIO 2016'!S28)/2</f>
        <v>14.89841986455982</v>
      </c>
      <c r="AF10" s="90">
        <f>('AJACCIO 2017'!S11+'AJACCIO 2017'!S28)/2</f>
        <v>15.011286681715577</v>
      </c>
      <c r="AG10" s="92">
        <f t="shared" si="14"/>
        <v>14.362302483069978</v>
      </c>
      <c r="AH10" s="135">
        <f t="shared" si="15"/>
        <v>15.011286681715577</v>
      </c>
      <c r="AI10" s="135">
        <f t="shared" si="16"/>
        <v>13.656884875846503</v>
      </c>
    </row>
    <row r="11" spans="1:35" x14ac:dyDescent="0.25">
      <c r="A11" s="119" t="s">
        <v>10</v>
      </c>
      <c r="B11" s="134">
        <f>'AJACCIO 2014'!AK12+'AJACCIO 2014'!AK29</f>
        <v>201982</v>
      </c>
      <c r="C11" s="134">
        <f>'AJACCIO 2015'!AK12+'AJACCIO 2015'!AK29</f>
        <v>218181</v>
      </c>
      <c r="D11" s="134">
        <f>'AJACCIO 2016'!AK12+'AJACCIO 2016'!AK29</f>
        <v>216664</v>
      </c>
      <c r="E11" s="134">
        <f>'AJACCIO 2017'!AK12+'AJACCIO 2017'!AK29</f>
        <v>200255</v>
      </c>
      <c r="F11" s="127">
        <f t="shared" si="6"/>
        <v>209270.5</v>
      </c>
      <c r="G11" s="127">
        <f t="shared" si="7"/>
        <v>9459.7802123868969</v>
      </c>
      <c r="H11" s="127">
        <f t="shared" si="0"/>
        <v>9459.7802123868969</v>
      </c>
      <c r="J11" s="119" t="s">
        <v>10</v>
      </c>
      <c r="K11" s="41">
        <f t="shared" si="1"/>
        <v>0.36306205503460703</v>
      </c>
      <c r="L11" s="41">
        <f t="shared" si="1"/>
        <v>0.38226060014391722</v>
      </c>
      <c r="M11" s="41">
        <f t="shared" si="1"/>
        <v>0.34554886829376363</v>
      </c>
      <c r="N11" s="41">
        <f t="shared" si="1"/>
        <v>0.37642006441786724</v>
      </c>
      <c r="O11" s="122">
        <f t="shared" si="8"/>
        <v>0.36682289697253878</v>
      </c>
      <c r="P11" s="123">
        <f t="shared" si="9"/>
        <v>0.38226060014391722</v>
      </c>
      <c r="Q11" s="123">
        <f t="shared" si="10"/>
        <v>0.34554886829376363</v>
      </c>
      <c r="S11" s="119" t="s">
        <v>10</v>
      </c>
      <c r="T11" s="41">
        <f t="shared" si="2"/>
        <v>0.45101655766415949</v>
      </c>
      <c r="U11" s="41">
        <f t="shared" si="3"/>
        <v>0.45606275133884866</v>
      </c>
      <c r="V11" s="41">
        <f t="shared" si="4"/>
        <v>0.42510037968387981</v>
      </c>
      <c r="W11" s="41">
        <f t="shared" si="5"/>
        <v>0.46779174218621278</v>
      </c>
      <c r="X11" s="122">
        <f t="shared" si="11"/>
        <v>0.44999285771827519</v>
      </c>
      <c r="Y11" s="123">
        <f t="shared" si="12"/>
        <v>0.46779174218621278</v>
      </c>
      <c r="Z11" s="123">
        <f t="shared" si="13"/>
        <v>0.42510037968387981</v>
      </c>
      <c r="AB11" s="119" t="s">
        <v>10</v>
      </c>
      <c r="AC11" s="90">
        <f>('AJACCIO 2014'!S12+'AJACCIO 2014'!S29)/2</f>
        <v>12.149532710280372</v>
      </c>
      <c r="AD11" s="90">
        <f>('AJACCIO 2015'!S12+'AJACCIO 2015'!S29)/2</f>
        <v>13.084112149532709</v>
      </c>
      <c r="AE11" s="90">
        <f>('AJACCIO 2016'!S12+'AJACCIO 2016'!S29)/2</f>
        <v>12.967289719626168</v>
      </c>
      <c r="AF11" s="90">
        <f>('AJACCIO 2017'!S12+'AJACCIO 2017'!S29)/2</f>
        <v>11.915887850467289</v>
      </c>
      <c r="AG11" s="92">
        <f t="shared" si="14"/>
        <v>12.529205607476634</v>
      </c>
      <c r="AH11" s="135">
        <f t="shared" si="15"/>
        <v>13.084112149532709</v>
      </c>
      <c r="AI11" s="135">
        <f t="shared" si="16"/>
        <v>11.915887850467289</v>
      </c>
    </row>
    <row r="12" spans="1:35" x14ac:dyDescent="0.25">
      <c r="A12" s="119" t="s">
        <v>11</v>
      </c>
      <c r="B12" s="134">
        <f>'AJACCIO 2014'!AK13+'AJACCIO 2014'!AK30</f>
        <v>152368</v>
      </c>
      <c r="C12" s="134">
        <f>'AJACCIO 2015'!AK13+'AJACCIO 2015'!AK30</f>
        <v>162088</v>
      </c>
      <c r="D12" s="134">
        <f>'AJACCIO 2016'!AK13+'AJACCIO 2016'!AK30</f>
        <v>161415</v>
      </c>
      <c r="E12" s="134">
        <f>'AJACCIO 2017'!AK13+'AJACCIO 2017'!AK30</f>
        <v>167485</v>
      </c>
      <c r="F12" s="127">
        <f t="shared" si="6"/>
        <v>160839</v>
      </c>
      <c r="G12" s="127">
        <f t="shared" si="7"/>
        <v>6266.8156187971572</v>
      </c>
      <c r="H12" s="127">
        <f t="shared" si="0"/>
        <v>6266.8156187971572</v>
      </c>
      <c r="J12" s="119" t="s">
        <v>11</v>
      </c>
      <c r="K12" s="41">
        <f t="shared" si="1"/>
        <v>0.26382179985298748</v>
      </c>
      <c r="L12" s="41">
        <f t="shared" si="1"/>
        <v>0.31972755540200387</v>
      </c>
      <c r="M12" s="41">
        <f t="shared" si="1"/>
        <v>0.25897840968931019</v>
      </c>
      <c r="N12" s="41">
        <f t="shared" si="1"/>
        <v>0.2779592202286772</v>
      </c>
      <c r="O12" s="122">
        <f t="shared" si="8"/>
        <v>0.28012174629324466</v>
      </c>
      <c r="P12" s="123">
        <f t="shared" si="9"/>
        <v>0.31972755540200387</v>
      </c>
      <c r="Q12" s="123">
        <f t="shared" si="10"/>
        <v>0.25897840968931019</v>
      </c>
      <c r="S12" s="119" t="s">
        <v>11</v>
      </c>
      <c r="T12" s="41">
        <f t="shared" si="2"/>
        <v>0.37266448610693276</v>
      </c>
      <c r="U12" s="41">
        <f t="shared" si="3"/>
        <v>0.42813632462330725</v>
      </c>
      <c r="V12" s="41">
        <f t="shared" si="4"/>
        <v>0.3493882307244125</v>
      </c>
      <c r="W12" s="41">
        <f t="shared" si="5"/>
        <v>0.3665477275981342</v>
      </c>
      <c r="X12" s="122">
        <f t="shared" si="11"/>
        <v>0.37918419226319666</v>
      </c>
      <c r="Y12" s="123">
        <f t="shared" si="12"/>
        <v>0.42813632462330725</v>
      </c>
      <c r="Z12" s="123">
        <f t="shared" si="13"/>
        <v>0.3493882307244125</v>
      </c>
      <c r="AB12" s="119" t="s">
        <v>11</v>
      </c>
      <c r="AC12" s="90">
        <f>('AJACCIO 2014'!S13+'AJACCIO 2014'!S30)/2</f>
        <v>8.8036117381489838</v>
      </c>
      <c r="AD12" s="90">
        <f>('AJACCIO 2015'!S13+'AJACCIO 2015'!S30)/2</f>
        <v>9.3679458239277658</v>
      </c>
      <c r="AE12" s="90">
        <f>('AJACCIO 2016'!S13+'AJACCIO 2016'!S30)/2</f>
        <v>9.0293453724604973</v>
      </c>
      <c r="AF12" s="90">
        <f>('AJACCIO 2017'!S13+'AJACCIO 2017'!S30)/2</f>
        <v>9.255079006772009</v>
      </c>
      <c r="AG12" s="92">
        <f t="shared" si="14"/>
        <v>9.1139954853273135</v>
      </c>
      <c r="AH12" s="135">
        <f t="shared" si="15"/>
        <v>9.3679458239277658</v>
      </c>
      <c r="AI12" s="135">
        <f t="shared" si="16"/>
        <v>8.8036117381489838</v>
      </c>
    </row>
    <row r="13" spans="1:35" x14ac:dyDescent="0.25">
      <c r="A13" s="119" t="s">
        <v>12</v>
      </c>
      <c r="B13" s="134">
        <f>'AJACCIO 2014'!AK14+'AJACCIO 2014'!AK31</f>
        <v>125950</v>
      </c>
      <c r="C13" s="134">
        <f>'AJACCIO 2015'!AK14+'AJACCIO 2015'!AK31</f>
        <v>121981</v>
      </c>
      <c r="D13" s="134">
        <f>'AJACCIO 2016'!AK14+'AJACCIO 2016'!AK31</f>
        <v>128825</v>
      </c>
      <c r="E13" s="134"/>
      <c r="F13" s="127">
        <f t="shared" si="6"/>
        <v>125585.33333333333</v>
      </c>
      <c r="G13" s="127">
        <f t="shared" si="7"/>
        <v>3436.5419149682043</v>
      </c>
      <c r="H13" s="127">
        <f t="shared" si="0"/>
        <v>3436.5419149682043</v>
      </c>
      <c r="J13" s="119" t="s">
        <v>12</v>
      </c>
      <c r="K13" s="41">
        <f t="shared" si="1"/>
        <v>0.12050813815005955</v>
      </c>
      <c r="L13" s="41">
        <f t="shared" si="1"/>
        <v>0.10606569875636369</v>
      </c>
      <c r="M13" s="41">
        <f t="shared" si="1"/>
        <v>0.10704444013196196</v>
      </c>
      <c r="N13" s="41"/>
      <c r="O13" s="122">
        <f t="shared" si="8"/>
        <v>0.1112060923461284</v>
      </c>
      <c r="P13" s="123">
        <f t="shared" si="9"/>
        <v>0.12050813815005955</v>
      </c>
      <c r="Q13" s="123">
        <f t="shared" si="10"/>
        <v>0.10606569875636369</v>
      </c>
      <c r="S13" s="119" t="s">
        <v>12</v>
      </c>
      <c r="T13" s="41">
        <f t="shared" ref="T13:V14" si="17">(B84+B68)/(B13+B116)</f>
        <v>0.19084539574992301</v>
      </c>
      <c r="U13" s="41">
        <f t="shared" si="17"/>
        <v>0.16777407393535337</v>
      </c>
      <c r="V13" s="41">
        <f t="shared" si="17"/>
        <v>0.16862546893797561</v>
      </c>
      <c r="W13" s="41"/>
      <c r="X13" s="122">
        <f t="shared" si="11"/>
        <v>0.17574831287441731</v>
      </c>
      <c r="Y13" s="123">
        <f t="shared" si="12"/>
        <v>0.19084539574992301</v>
      </c>
      <c r="Z13" s="123">
        <f t="shared" si="13"/>
        <v>0.16777407393535337</v>
      </c>
      <c r="AB13" s="119" t="s">
        <v>12</v>
      </c>
      <c r="AC13" s="90">
        <f>('AJACCIO 2014'!S14+'AJACCIO 2014'!S31)/2</f>
        <v>7.4766355140186915</v>
      </c>
      <c r="AD13" s="90">
        <f>('AJACCIO 2015'!S14+'AJACCIO 2015'!S31)/2</f>
        <v>7.2429906542056068</v>
      </c>
      <c r="AE13" s="90">
        <f>('AJACCIO 2016'!S14+'AJACCIO 2016'!S31)/2</f>
        <v>7.5934579439252339</v>
      </c>
      <c r="AF13" s="90"/>
      <c r="AG13" s="92">
        <f t="shared" si="14"/>
        <v>7.4376947040498438</v>
      </c>
      <c r="AH13" s="135">
        <f t="shared" si="15"/>
        <v>7.5934579439252339</v>
      </c>
      <c r="AI13" s="135">
        <f t="shared" si="16"/>
        <v>7.2429906542056068</v>
      </c>
    </row>
    <row r="14" spans="1:35" ht="15.75" thickBot="1" x14ac:dyDescent="0.3">
      <c r="A14" s="119" t="s">
        <v>13</v>
      </c>
      <c r="B14" s="134">
        <f>'AJACCIO 2014'!AK15+'AJACCIO 2014'!AK32</f>
        <v>126921</v>
      </c>
      <c r="C14" s="134">
        <f>'AJACCIO 2015'!AK15+'AJACCIO 2015'!AK32</f>
        <v>138553</v>
      </c>
      <c r="D14" s="134">
        <f>'AJACCIO 2016'!AK15+'AJACCIO 2016'!AK32</f>
        <v>128434</v>
      </c>
      <c r="E14" s="134"/>
      <c r="F14" s="127">
        <f t="shared" si="6"/>
        <v>131302.66666666666</v>
      </c>
      <c r="G14" s="127">
        <f t="shared" si="7"/>
        <v>6324.3807865539948</v>
      </c>
      <c r="H14" s="127">
        <f t="shared" si="0"/>
        <v>6324.3807865539948</v>
      </c>
      <c r="J14" s="139" t="s">
        <v>13</v>
      </c>
      <c r="K14" s="66">
        <f t="shared" si="1"/>
        <v>0.15190551602965624</v>
      </c>
      <c r="L14" s="66">
        <f t="shared" si="1"/>
        <v>0.14634111134367353</v>
      </c>
      <c r="M14" s="66">
        <f t="shared" si="1"/>
        <v>0.14141115281000358</v>
      </c>
      <c r="N14" s="66"/>
      <c r="O14" s="122">
        <f t="shared" si="8"/>
        <v>0.14655259339444446</v>
      </c>
      <c r="P14" s="123">
        <f t="shared" si="9"/>
        <v>0.15190551602965624</v>
      </c>
      <c r="Q14" s="123">
        <f t="shared" si="10"/>
        <v>0.14141115281000358</v>
      </c>
      <c r="S14" s="139" t="s">
        <v>13</v>
      </c>
      <c r="T14" s="66">
        <f t="shared" si="17"/>
        <v>0.24474310383580966</v>
      </c>
      <c r="U14" s="66">
        <f t="shared" si="17"/>
        <v>0.19865180026197246</v>
      </c>
      <c r="V14" s="66">
        <f t="shared" si="17"/>
        <v>0.21803499327052489</v>
      </c>
      <c r="W14" s="66"/>
      <c r="X14" s="122">
        <f t="shared" si="11"/>
        <v>0.22047663245610236</v>
      </c>
      <c r="Y14" s="123">
        <f t="shared" si="12"/>
        <v>0.24474310383580966</v>
      </c>
      <c r="Z14" s="123">
        <f t="shared" si="13"/>
        <v>0.19865180026197246</v>
      </c>
      <c r="AB14" s="139" t="s">
        <v>13</v>
      </c>
      <c r="AC14" s="93">
        <f>('AJACCIO 2014'!S15+'AJACCIO 2014'!S32)/2</f>
        <v>7.2234762979683982</v>
      </c>
      <c r="AD14" s="93">
        <f>('AJACCIO 2015'!S15+'AJACCIO 2015'!S32)/2</f>
        <v>7.9006772009029351</v>
      </c>
      <c r="AE14" s="93">
        <f>('AJACCIO 2016'!S15+'AJACCIO 2016'!S32)/2</f>
        <v>7.336343115124154</v>
      </c>
      <c r="AF14" s="66"/>
      <c r="AG14" s="92">
        <f t="shared" si="14"/>
        <v>7.4868322046651627</v>
      </c>
      <c r="AH14" s="135">
        <f t="shared" si="15"/>
        <v>7.9006772009029351</v>
      </c>
      <c r="AI14" s="135">
        <f t="shared" si="16"/>
        <v>7.2234762979683982</v>
      </c>
    </row>
    <row r="15" spans="1:35" ht="16.5" thickTop="1" thickBot="1" x14ac:dyDescent="0.3">
      <c r="A15" s="128" t="s">
        <v>0</v>
      </c>
      <c r="B15" s="129">
        <f t="shared" ref="B15:D15" si="18">SUM(B3:B14)</f>
        <v>2058429</v>
      </c>
      <c r="C15" s="129">
        <f t="shared" si="18"/>
        <v>2073366</v>
      </c>
      <c r="D15" s="129">
        <f t="shared" si="18"/>
        <v>2109510</v>
      </c>
      <c r="E15" s="129">
        <f>SUM(E3:E14)</f>
        <v>1813729</v>
      </c>
      <c r="J15" s="138" t="s">
        <v>1</v>
      </c>
      <c r="K15" s="61">
        <f>AVERAGE(K3:K14)</f>
        <v>0.25914527924881386</v>
      </c>
      <c r="L15" s="61">
        <f t="shared" ref="L15:N15" si="19">AVERAGE(L3:L14)</f>
        <v>0.28684184782333216</v>
      </c>
      <c r="M15" s="61">
        <f t="shared" si="19"/>
        <v>0.26873366158748141</v>
      </c>
      <c r="N15" s="61">
        <f t="shared" si="19"/>
        <v>0.29885372444995717</v>
      </c>
      <c r="S15" s="138" t="s">
        <v>1</v>
      </c>
      <c r="T15" s="61">
        <f>AVERAGE(T3:T14)</f>
        <v>0.3519997890345572</v>
      </c>
      <c r="U15" s="61">
        <f t="shared" ref="U15:W15" si="20">AVERAGE(U3:U14)</f>
        <v>0.36523154552825748</v>
      </c>
      <c r="V15" s="61">
        <f t="shared" si="20"/>
        <v>0.34224682790880195</v>
      </c>
      <c r="W15" s="61">
        <f t="shared" si="20"/>
        <v>0.38217539691011215</v>
      </c>
      <c r="AB15" s="138" t="s">
        <v>1</v>
      </c>
      <c r="AC15" s="91">
        <f>AVERAGE(AC3:AC14)</f>
        <v>10.03331417058712</v>
      </c>
      <c r="AD15" s="91">
        <f t="shared" ref="AD15:AF15" si="21">AVERAGE(AD3:AD14)</f>
        <v>10.094714290486136</v>
      </c>
      <c r="AE15" s="91">
        <f t="shared" si="21"/>
        <v>10.195803270676427</v>
      </c>
      <c r="AF15" s="91">
        <f t="shared" si="21"/>
        <v>10.453961150608636</v>
      </c>
    </row>
    <row r="16" spans="1:35" ht="15.75" thickTop="1" x14ac:dyDescent="0.25">
      <c r="A16" s="136" t="s">
        <v>72</v>
      </c>
      <c r="B16" s="136"/>
      <c r="C16" s="136"/>
      <c r="D16" s="136"/>
      <c r="E16" s="136"/>
      <c r="F16" s="127"/>
    </row>
    <row r="17" spans="1:17" x14ac:dyDescent="0.25">
      <c r="A17" s="130" t="s">
        <v>15</v>
      </c>
      <c r="B17" s="127">
        <f>AVERAGE(B3:B5,B12:B14)</f>
        <v>131450.5</v>
      </c>
      <c r="C17" s="127">
        <f t="shared" ref="C17:E17" si="22">AVERAGE(C3:C5,C12:C14)</f>
        <v>131808.66666666666</v>
      </c>
      <c r="D17" s="127">
        <f t="shared" si="22"/>
        <v>135247.5</v>
      </c>
      <c r="E17" s="127">
        <f t="shared" si="22"/>
        <v>135670.25</v>
      </c>
      <c r="F17" s="127">
        <f>AVERAGE(B17:D17)</f>
        <v>132835.55555555553</v>
      </c>
      <c r="G17" s="122"/>
      <c r="H17" s="131"/>
    </row>
    <row r="18" spans="1:17" x14ac:dyDescent="0.25">
      <c r="A18" s="130" t="s">
        <v>16</v>
      </c>
      <c r="B18" s="127">
        <f t="shared" ref="B18:E18" si="23">AVERAGE(B6:B11)</f>
        <v>211621</v>
      </c>
      <c r="C18" s="127">
        <f t="shared" si="23"/>
        <v>213752.33333333334</v>
      </c>
      <c r="D18" s="127">
        <f t="shared" si="23"/>
        <v>216337.5</v>
      </c>
      <c r="E18" s="127">
        <f t="shared" si="23"/>
        <v>211841.33333333334</v>
      </c>
      <c r="F18" s="127">
        <f>AVERAGE(B18:D18)</f>
        <v>213903.61111111112</v>
      </c>
      <c r="G18" s="122"/>
    </row>
    <row r="19" spans="1:17" ht="15.75" thickBot="1" x14ac:dyDescent="0.3"/>
    <row r="20" spans="1:17" ht="17.25" thickTop="1" thickBot="1" x14ac:dyDescent="0.3">
      <c r="A20" s="140" t="s">
        <v>82</v>
      </c>
      <c r="B20" s="141"/>
      <c r="C20" s="141"/>
      <c r="D20" s="141"/>
      <c r="E20" s="141"/>
      <c r="F20" s="142"/>
      <c r="J20" s="140" t="s">
        <v>126</v>
      </c>
      <c r="K20" s="141"/>
      <c r="L20" s="141"/>
      <c r="M20" s="141"/>
      <c r="N20" s="141"/>
      <c r="O20" s="142"/>
    </row>
    <row r="21" spans="1:17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86" t="s">
        <v>18</v>
      </c>
      <c r="Q21" s="86" t="s">
        <v>17</v>
      </c>
    </row>
    <row r="22" spans="1:17" x14ac:dyDescent="0.25">
      <c r="A22" s="119" t="s">
        <v>2</v>
      </c>
      <c r="B22" s="134">
        <v>18259</v>
      </c>
      <c r="C22" s="134">
        <v>15033</v>
      </c>
      <c r="D22" s="134">
        <v>15849</v>
      </c>
      <c r="E22" s="134">
        <v>11320</v>
      </c>
      <c r="F22" s="127">
        <f>AVERAGE(B22:E22)</f>
        <v>15115.25</v>
      </c>
      <c r="G22" s="127">
        <f>STDEVA(B22:E22)</f>
        <v>2877.0494579227052</v>
      </c>
      <c r="H22" s="127">
        <f t="shared" ref="H22:H33" si="24">STDEVA(B22:E22)</f>
        <v>2877.0494579227052</v>
      </c>
      <c r="J22" s="119" t="s">
        <v>2</v>
      </c>
      <c r="K22" s="77">
        <f>(B3+B106)-(B90)</f>
        <v>146535</v>
      </c>
      <c r="L22" s="77">
        <f t="shared" ref="L22:N22" si="25">(C3+C106)-(C90)</f>
        <v>112453</v>
      </c>
      <c r="M22" s="77">
        <f t="shared" si="25"/>
        <v>129895</v>
      </c>
      <c r="N22" s="77">
        <f t="shared" si="25"/>
        <v>125374.66666666666</v>
      </c>
      <c r="O22" s="92">
        <f>AVERAGE(K22:N22)</f>
        <v>128564.41666666666</v>
      </c>
      <c r="P22" s="135">
        <f>MAX(K22:N22)</f>
        <v>146535</v>
      </c>
      <c r="Q22" s="135">
        <f>MIN(K22:N22)</f>
        <v>112453</v>
      </c>
    </row>
    <row r="23" spans="1:17" x14ac:dyDescent="0.25">
      <c r="A23" s="119" t="s">
        <v>3</v>
      </c>
      <c r="B23" s="134">
        <v>7706</v>
      </c>
      <c r="C23" s="134">
        <v>12350</v>
      </c>
      <c r="D23" s="134">
        <v>13763</v>
      </c>
      <c r="E23" s="134">
        <v>11471</v>
      </c>
      <c r="F23" s="127">
        <f t="shared" ref="F23:F33" si="26">AVERAGE(B23:E23)</f>
        <v>11322.5</v>
      </c>
      <c r="G23" s="127">
        <f t="shared" ref="G23:G33" si="27">STDEVA(B23:E23)</f>
        <v>2589.2676570798935</v>
      </c>
      <c r="H23" s="127">
        <f t="shared" si="24"/>
        <v>2589.2676570798935</v>
      </c>
      <c r="J23" s="119" t="s">
        <v>3</v>
      </c>
      <c r="K23" s="77">
        <f t="shared" ref="K23:K33" si="28">(B4+B107)-(B91)</f>
        <v>111362</v>
      </c>
      <c r="L23" s="77">
        <f t="shared" ref="L23:L33" si="29">(C4+C107)-(C91)</f>
        <v>95796</v>
      </c>
      <c r="M23" s="77">
        <f t="shared" ref="M23:M33" si="30">(D4+D107)-(D91)</f>
        <v>110076</v>
      </c>
      <c r="N23" s="77">
        <f t="shared" ref="N23:N31" si="31">(E4+E107)-(E91)</f>
        <v>105702.33333333333</v>
      </c>
      <c r="O23" s="92">
        <f t="shared" ref="O23:O33" si="32">AVERAGE(K23:N23)</f>
        <v>105734.08333333333</v>
      </c>
      <c r="P23" s="135">
        <f t="shared" ref="P23:P33" si="33">MAX(K23:N23)</f>
        <v>111362</v>
      </c>
      <c r="Q23" s="135">
        <f t="shared" ref="Q23:Q33" si="34">MIN(K23:N23)</f>
        <v>95796</v>
      </c>
    </row>
    <row r="24" spans="1:17" x14ac:dyDescent="0.25">
      <c r="A24" s="119" t="s">
        <v>4</v>
      </c>
      <c r="B24" s="134">
        <v>10926</v>
      </c>
      <c r="C24" s="134">
        <v>14269</v>
      </c>
      <c r="D24" s="134">
        <v>14825</v>
      </c>
      <c r="E24" s="134">
        <v>12867</v>
      </c>
      <c r="F24" s="127">
        <f t="shared" si="26"/>
        <v>13221.75</v>
      </c>
      <c r="G24" s="127">
        <f t="shared" si="27"/>
        <v>1738.1464025411285</v>
      </c>
      <c r="H24" s="127">
        <f t="shared" si="24"/>
        <v>1738.1464025411285</v>
      </c>
      <c r="J24" s="119" t="s">
        <v>4</v>
      </c>
      <c r="K24" s="77">
        <f t="shared" si="28"/>
        <v>120835</v>
      </c>
      <c r="L24" s="77">
        <f t="shared" si="29"/>
        <v>100120</v>
      </c>
      <c r="M24" s="77">
        <f t="shared" si="30"/>
        <v>119287</v>
      </c>
      <c r="N24" s="77">
        <f t="shared" si="31"/>
        <v>116905.66666666666</v>
      </c>
      <c r="O24" s="92">
        <f t="shared" si="32"/>
        <v>114286.91666666666</v>
      </c>
      <c r="P24" s="135">
        <f t="shared" si="33"/>
        <v>120835</v>
      </c>
      <c r="Q24" s="135">
        <f t="shared" si="34"/>
        <v>100120</v>
      </c>
    </row>
    <row r="25" spans="1:17" x14ac:dyDescent="0.25">
      <c r="A25" s="119" t="s">
        <v>5</v>
      </c>
      <c r="B25" s="134">
        <v>32959</v>
      </c>
      <c r="C25" s="134">
        <v>39185</v>
      </c>
      <c r="D25" s="134">
        <v>47279</v>
      </c>
      <c r="E25" s="134">
        <v>52454</v>
      </c>
      <c r="F25" s="127">
        <f t="shared" si="26"/>
        <v>42969.25</v>
      </c>
      <c r="G25" s="127">
        <f t="shared" si="27"/>
        <v>8622.8394540313693</v>
      </c>
      <c r="H25" s="127">
        <f t="shared" si="24"/>
        <v>8622.8394540313693</v>
      </c>
      <c r="J25" s="119" t="s">
        <v>5</v>
      </c>
      <c r="K25" s="77">
        <f t="shared" si="28"/>
        <v>123991</v>
      </c>
      <c r="L25" s="77">
        <f t="shared" si="29"/>
        <v>113155</v>
      </c>
      <c r="M25" s="77">
        <f t="shared" si="30"/>
        <v>151345</v>
      </c>
      <c r="N25" s="77">
        <f t="shared" si="31"/>
        <v>116648</v>
      </c>
      <c r="O25" s="92">
        <f t="shared" si="32"/>
        <v>126284.75</v>
      </c>
      <c r="P25" s="135">
        <f t="shared" si="33"/>
        <v>151345</v>
      </c>
      <c r="Q25" s="135">
        <f t="shared" si="34"/>
        <v>113155</v>
      </c>
    </row>
    <row r="26" spans="1:17" ht="16.5" customHeight="1" x14ac:dyDescent="0.25">
      <c r="A26" s="119" t="s">
        <v>6</v>
      </c>
      <c r="B26" s="134">
        <v>58866</v>
      </c>
      <c r="C26" s="134">
        <v>72879</v>
      </c>
      <c r="D26" s="134">
        <v>58200</v>
      </c>
      <c r="E26" s="134">
        <v>54092</v>
      </c>
      <c r="F26" s="127">
        <f t="shared" si="26"/>
        <v>61009.25</v>
      </c>
      <c r="G26" s="127">
        <f t="shared" si="27"/>
        <v>8189.927121165365</v>
      </c>
      <c r="H26" s="127">
        <f t="shared" si="24"/>
        <v>8189.927121165365</v>
      </c>
      <c r="J26" s="119" t="s">
        <v>6</v>
      </c>
      <c r="K26" s="77">
        <f t="shared" si="28"/>
        <v>142481</v>
      </c>
      <c r="L26" s="77">
        <f t="shared" si="29"/>
        <v>132144</v>
      </c>
      <c r="M26" s="77">
        <f t="shared" si="30"/>
        <v>118990</v>
      </c>
      <c r="N26" s="77">
        <f t="shared" si="31"/>
        <v>135211</v>
      </c>
      <c r="O26" s="92">
        <f t="shared" si="32"/>
        <v>132206.5</v>
      </c>
      <c r="P26" s="135">
        <f t="shared" si="33"/>
        <v>142481</v>
      </c>
      <c r="Q26" s="135">
        <f t="shared" si="34"/>
        <v>118990</v>
      </c>
    </row>
    <row r="27" spans="1:17" x14ac:dyDescent="0.25">
      <c r="A27" s="119" t="s">
        <v>7</v>
      </c>
      <c r="B27" s="134">
        <v>69739</v>
      </c>
      <c r="C27" s="134">
        <v>71711</v>
      </c>
      <c r="D27" s="134">
        <v>66766</v>
      </c>
      <c r="E27" s="134">
        <v>68806</v>
      </c>
      <c r="F27" s="127">
        <f t="shared" si="26"/>
        <v>69255.5</v>
      </c>
      <c r="G27" s="127">
        <f t="shared" si="27"/>
        <v>2054.5001825261538</v>
      </c>
      <c r="H27" s="127">
        <f t="shared" si="24"/>
        <v>2054.5001825261538</v>
      </c>
      <c r="J27" s="119" t="s">
        <v>7</v>
      </c>
      <c r="K27" s="77">
        <f t="shared" si="28"/>
        <v>157320</v>
      </c>
      <c r="L27" s="77">
        <f t="shared" si="29"/>
        <v>174950</v>
      </c>
      <c r="M27" s="77">
        <f t="shared" si="30"/>
        <v>157440</v>
      </c>
      <c r="N27" s="77">
        <f t="shared" si="31"/>
        <v>141954</v>
      </c>
      <c r="O27" s="92">
        <f t="shared" si="32"/>
        <v>157916</v>
      </c>
      <c r="P27" s="135">
        <f t="shared" si="33"/>
        <v>174950</v>
      </c>
      <c r="Q27" s="135">
        <f t="shared" si="34"/>
        <v>141954</v>
      </c>
    </row>
    <row r="28" spans="1:17" x14ac:dyDescent="0.25">
      <c r="A28" s="119" t="s">
        <v>8</v>
      </c>
      <c r="B28" s="134">
        <v>121938</v>
      </c>
      <c r="C28" s="134">
        <v>127182</v>
      </c>
      <c r="D28" s="134">
        <v>125912</v>
      </c>
      <c r="E28" s="134">
        <v>130338</v>
      </c>
      <c r="F28" s="127">
        <f t="shared" si="26"/>
        <v>126342.5</v>
      </c>
      <c r="G28" s="127">
        <f t="shared" si="27"/>
        <v>3476.2878189240892</v>
      </c>
      <c r="H28" s="127">
        <f t="shared" si="24"/>
        <v>3476.2878189240892</v>
      </c>
      <c r="J28" s="119" t="s">
        <v>8</v>
      </c>
      <c r="K28" s="77">
        <f t="shared" si="28"/>
        <v>133459</v>
      </c>
      <c r="L28" s="77">
        <f t="shared" si="29"/>
        <v>100843</v>
      </c>
      <c r="M28" s="77">
        <f t="shared" si="30"/>
        <v>123256</v>
      </c>
      <c r="N28" s="77">
        <f t="shared" si="31"/>
        <v>124088</v>
      </c>
      <c r="O28" s="92">
        <f t="shared" si="32"/>
        <v>120411.5</v>
      </c>
      <c r="P28" s="135">
        <f t="shared" si="33"/>
        <v>133459</v>
      </c>
      <c r="Q28" s="135">
        <f t="shared" si="34"/>
        <v>100843</v>
      </c>
    </row>
    <row r="29" spans="1:17" x14ac:dyDescent="0.25">
      <c r="A29" s="119" t="s">
        <v>9</v>
      </c>
      <c r="B29" s="134">
        <v>146610</v>
      </c>
      <c r="C29" s="134">
        <v>163545</v>
      </c>
      <c r="D29" s="134">
        <v>160349</v>
      </c>
      <c r="E29" s="134">
        <v>154343</v>
      </c>
      <c r="F29" s="127">
        <f t="shared" si="26"/>
        <v>156211.75</v>
      </c>
      <c r="G29" s="127">
        <f t="shared" si="27"/>
        <v>7451.6043630437962</v>
      </c>
      <c r="H29" s="127">
        <f t="shared" si="24"/>
        <v>7451.6043630437962</v>
      </c>
      <c r="J29" s="119" t="s">
        <v>9</v>
      </c>
      <c r="K29" s="77">
        <f t="shared" si="28"/>
        <v>72551</v>
      </c>
      <c r="L29" s="77">
        <f t="shared" si="29"/>
        <v>56899</v>
      </c>
      <c r="M29" s="77">
        <f t="shared" si="30"/>
        <v>80105</v>
      </c>
      <c r="N29" s="77">
        <f t="shared" si="31"/>
        <v>89361</v>
      </c>
      <c r="O29" s="92">
        <f t="shared" si="32"/>
        <v>74729</v>
      </c>
      <c r="P29" s="135">
        <f t="shared" si="33"/>
        <v>89361</v>
      </c>
      <c r="Q29" s="135">
        <f t="shared" si="34"/>
        <v>56899</v>
      </c>
    </row>
    <row r="30" spans="1:17" x14ac:dyDescent="0.25">
      <c r="A30" s="119" t="s">
        <v>10</v>
      </c>
      <c r="B30" s="134">
        <v>73332</v>
      </c>
      <c r="C30" s="134">
        <v>83402</v>
      </c>
      <c r="D30" s="134">
        <v>74868</v>
      </c>
      <c r="E30" s="134">
        <v>75380</v>
      </c>
      <c r="F30" s="127">
        <f t="shared" si="26"/>
        <v>76745.5</v>
      </c>
      <c r="G30" s="127">
        <f t="shared" si="27"/>
        <v>4522.1886662691695</v>
      </c>
      <c r="H30" s="127">
        <f t="shared" si="24"/>
        <v>4522.1886662691695</v>
      </c>
      <c r="J30" s="119" t="s">
        <v>10</v>
      </c>
      <c r="K30" s="77">
        <f t="shared" si="28"/>
        <v>129772</v>
      </c>
      <c r="L30" s="77">
        <f t="shared" si="29"/>
        <v>139453</v>
      </c>
      <c r="M30" s="77">
        <f t="shared" si="30"/>
        <v>142179</v>
      </c>
      <c r="N30" s="77">
        <f t="shared" si="31"/>
        <v>124893.66666666666</v>
      </c>
      <c r="O30" s="92">
        <f t="shared" si="32"/>
        <v>134074.41666666666</v>
      </c>
      <c r="P30" s="135">
        <f t="shared" si="33"/>
        <v>142179</v>
      </c>
      <c r="Q30" s="135">
        <f t="shared" si="34"/>
        <v>124893.66666666666</v>
      </c>
    </row>
    <row r="31" spans="1:17" x14ac:dyDescent="0.25">
      <c r="A31" s="119" t="s">
        <v>11</v>
      </c>
      <c r="B31" s="134">
        <v>40198</v>
      </c>
      <c r="C31" s="134">
        <v>51824</v>
      </c>
      <c r="D31" s="134">
        <v>41803</v>
      </c>
      <c r="E31" s="134">
        <v>46554</v>
      </c>
      <c r="F31" s="127">
        <f t="shared" si="26"/>
        <v>45094.75</v>
      </c>
      <c r="G31" s="127">
        <f t="shared" si="27"/>
        <v>5235.3285395156117</v>
      </c>
      <c r="H31" s="127">
        <f t="shared" si="24"/>
        <v>5235.3285395156117</v>
      </c>
      <c r="J31" s="119" t="s">
        <v>11</v>
      </c>
      <c r="K31" s="77">
        <f t="shared" si="28"/>
        <v>98008</v>
      </c>
      <c r="L31" s="77">
        <f t="shared" si="29"/>
        <v>95945</v>
      </c>
      <c r="M31" s="77">
        <f t="shared" si="30"/>
        <v>117250</v>
      </c>
      <c r="N31" s="77">
        <f t="shared" si="31"/>
        <v>112079.66666666666</v>
      </c>
      <c r="O31" s="92">
        <f t="shared" si="32"/>
        <v>105820.66666666666</v>
      </c>
      <c r="P31" s="135">
        <f t="shared" si="33"/>
        <v>117250</v>
      </c>
      <c r="Q31" s="135">
        <f t="shared" si="34"/>
        <v>95945</v>
      </c>
    </row>
    <row r="32" spans="1:17" x14ac:dyDescent="0.25">
      <c r="A32" s="119" t="s">
        <v>12</v>
      </c>
      <c r="B32" s="134">
        <v>15178</v>
      </c>
      <c r="C32" s="134">
        <v>12938</v>
      </c>
      <c r="D32" s="134">
        <v>13790</v>
      </c>
      <c r="E32" s="134"/>
      <c r="F32" s="127">
        <f t="shared" si="26"/>
        <v>13968.666666666666</v>
      </c>
      <c r="G32" s="127">
        <f t="shared" si="27"/>
        <v>1130.6375782421762</v>
      </c>
      <c r="H32" s="127">
        <f t="shared" si="24"/>
        <v>1130.6375782421762</v>
      </c>
      <c r="J32" s="119" t="s">
        <v>12</v>
      </c>
      <c r="K32" s="77">
        <f t="shared" si="28"/>
        <v>105093</v>
      </c>
      <c r="L32" s="77">
        <f t="shared" si="29"/>
        <v>111098</v>
      </c>
      <c r="M32" s="77">
        <f t="shared" si="30"/>
        <v>116789</v>
      </c>
      <c r="N32" s="77"/>
      <c r="O32" s="92">
        <f t="shared" si="32"/>
        <v>110993.33333333333</v>
      </c>
      <c r="P32" s="135">
        <f t="shared" si="33"/>
        <v>116789</v>
      </c>
      <c r="Q32" s="135">
        <f t="shared" si="34"/>
        <v>105093</v>
      </c>
    </row>
    <row r="33" spans="1:17" ht="15.75" thickBot="1" x14ac:dyDescent="0.3">
      <c r="A33" s="119" t="s">
        <v>13</v>
      </c>
      <c r="B33" s="134">
        <v>19280</v>
      </c>
      <c r="C33" s="134">
        <v>20276</v>
      </c>
      <c r="D33" s="134">
        <v>18162</v>
      </c>
      <c r="E33" s="134"/>
      <c r="F33" s="127">
        <f t="shared" si="26"/>
        <v>19239.333333333332</v>
      </c>
      <c r="G33" s="127">
        <f t="shared" si="27"/>
        <v>1057.5865606811262</v>
      </c>
      <c r="H33" s="127">
        <f t="shared" si="24"/>
        <v>1057.5865606811262</v>
      </c>
      <c r="J33" s="139" t="s">
        <v>13</v>
      </c>
      <c r="K33" s="43">
        <f t="shared" si="28"/>
        <v>97444</v>
      </c>
      <c r="L33" s="43">
        <f t="shared" si="29"/>
        <v>125415</v>
      </c>
      <c r="M33" s="43">
        <f t="shared" si="30"/>
        <v>110971</v>
      </c>
      <c r="N33" s="43"/>
      <c r="O33" s="92">
        <f t="shared" si="32"/>
        <v>111276.66666666667</v>
      </c>
      <c r="P33" s="135">
        <f t="shared" si="33"/>
        <v>125415</v>
      </c>
      <c r="Q33" s="135">
        <f t="shared" si="34"/>
        <v>97444</v>
      </c>
    </row>
    <row r="34" spans="1:17" ht="16.5" thickTop="1" thickBot="1" x14ac:dyDescent="0.3">
      <c r="A34" s="128" t="s">
        <v>0</v>
      </c>
      <c r="B34" s="129">
        <f t="shared" ref="B34:D34" si="35">SUM(B22:B33)</f>
        <v>614991</v>
      </c>
      <c r="C34" s="129">
        <f t="shared" si="35"/>
        <v>684594</v>
      </c>
      <c r="D34" s="129">
        <f t="shared" si="35"/>
        <v>651566</v>
      </c>
      <c r="E34" s="129">
        <f>SUM(E22:E33)</f>
        <v>617625</v>
      </c>
      <c r="J34" s="138" t="s">
        <v>0</v>
      </c>
      <c r="K34" s="137">
        <f>SUM(K22:K33)</f>
        <v>1438851</v>
      </c>
      <c r="L34" s="137">
        <f>SUM(L22:L33)</f>
        <v>1358271</v>
      </c>
      <c r="M34" s="137">
        <f>SUM(M22:M33)</f>
        <v>1477583</v>
      </c>
      <c r="N34" s="137">
        <f>SUM(N22:N33)</f>
        <v>1192218</v>
      </c>
    </row>
    <row r="35" spans="1:17" ht="15.75" thickTop="1" x14ac:dyDescent="0.25">
      <c r="A35" s="136" t="s">
        <v>14</v>
      </c>
      <c r="B35" s="136"/>
      <c r="C35" s="136"/>
      <c r="D35" s="136"/>
      <c r="E35" s="136"/>
      <c r="F35" s="136"/>
      <c r="G35" s="136"/>
      <c r="H35" s="136"/>
    </row>
    <row r="36" spans="1:17" x14ac:dyDescent="0.25">
      <c r="A36" s="130" t="s">
        <v>15</v>
      </c>
      <c r="B36" s="127">
        <f>AVERAGE(B22:B24,B31:B33)</f>
        <v>18591.166666666668</v>
      </c>
      <c r="C36" s="127">
        <f t="shared" ref="C36:H36" si="36">AVERAGE(C22:C24,C31:C33)</f>
        <v>21115</v>
      </c>
      <c r="D36" s="127">
        <f t="shared" si="36"/>
        <v>19698.666666666668</v>
      </c>
      <c r="E36" s="127">
        <f t="shared" si="36"/>
        <v>20553</v>
      </c>
      <c r="F36" s="127">
        <f t="shared" si="36"/>
        <v>19660.375</v>
      </c>
      <c r="G36" s="127">
        <f t="shared" si="36"/>
        <v>2438.0026993304405</v>
      </c>
      <c r="H36" s="127">
        <f t="shared" si="36"/>
        <v>2438.0026993304405</v>
      </c>
    </row>
    <row r="37" spans="1:17" x14ac:dyDescent="0.25">
      <c r="A37" s="130" t="s">
        <v>16</v>
      </c>
      <c r="B37" s="127">
        <f t="shared" ref="B37:H37" si="37">AVERAGE(B25:B30)</f>
        <v>83907.333333333328</v>
      </c>
      <c r="C37" s="127">
        <f t="shared" si="37"/>
        <v>92984</v>
      </c>
      <c r="D37" s="127">
        <f t="shared" si="37"/>
        <v>88895.666666666672</v>
      </c>
      <c r="E37" s="127">
        <f t="shared" si="37"/>
        <v>89235.5</v>
      </c>
      <c r="F37" s="127">
        <f t="shared" si="37"/>
        <v>88755.625</v>
      </c>
      <c r="G37" s="127">
        <f t="shared" si="37"/>
        <v>5719.5579343266581</v>
      </c>
      <c r="H37" s="127">
        <f t="shared" si="37"/>
        <v>5719.5579343266581</v>
      </c>
    </row>
    <row r="38" spans="1:17" ht="15.75" thickBot="1" x14ac:dyDescent="0.3"/>
    <row r="39" spans="1:17" ht="17.25" thickTop="1" thickBot="1" x14ac:dyDescent="0.3">
      <c r="A39" s="140" t="s">
        <v>83</v>
      </c>
      <c r="B39" s="141"/>
      <c r="C39" s="141"/>
      <c r="D39" s="141"/>
      <c r="E39" s="141"/>
      <c r="F39" s="142"/>
      <c r="J39" s="149" t="s">
        <v>239</v>
      </c>
      <c r="K39" s="164"/>
      <c r="L39" s="164"/>
      <c r="M39" s="164"/>
      <c r="N39" s="164"/>
    </row>
    <row r="40" spans="1:17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J40" s="151"/>
      <c r="K40" s="147">
        <v>2014</v>
      </c>
      <c r="L40" s="147">
        <v>2015</v>
      </c>
      <c r="M40" s="147">
        <v>2016</v>
      </c>
      <c r="N40" s="147">
        <v>2017</v>
      </c>
    </row>
    <row r="41" spans="1:17" x14ac:dyDescent="0.25">
      <c r="A41" s="119" t="s">
        <v>2</v>
      </c>
      <c r="B41" s="134">
        <v>5216</v>
      </c>
      <c r="C41" s="134">
        <v>8607</v>
      </c>
      <c r="D41" s="134">
        <v>6666</v>
      </c>
      <c r="E41" s="134">
        <v>7838</v>
      </c>
      <c r="J41" s="153" t="s">
        <v>2</v>
      </c>
      <c r="K41" s="77">
        <f>-1*K22</f>
        <v>-146535</v>
      </c>
      <c r="L41" s="77">
        <f t="shared" ref="L41:N41" si="38">-1*L22</f>
        <v>-112453</v>
      </c>
      <c r="M41" s="77">
        <f t="shared" si="38"/>
        <v>-129895</v>
      </c>
      <c r="N41" s="77">
        <f t="shared" si="38"/>
        <v>-125374.66666666666</v>
      </c>
    </row>
    <row r="42" spans="1:17" x14ac:dyDescent="0.25">
      <c r="A42" s="119" t="s">
        <v>3</v>
      </c>
      <c r="B42" s="134">
        <v>9839</v>
      </c>
      <c r="C42" s="134">
        <v>7405</v>
      </c>
      <c r="D42" s="134">
        <v>7782</v>
      </c>
      <c r="E42" s="134">
        <v>8973</v>
      </c>
      <c r="J42" s="153" t="s">
        <v>3</v>
      </c>
      <c r="K42" s="77">
        <f t="shared" ref="K42:N52" si="39">-1*K23</f>
        <v>-111362</v>
      </c>
      <c r="L42" s="77">
        <f t="shared" si="39"/>
        <v>-95796</v>
      </c>
      <c r="M42" s="77">
        <f t="shared" si="39"/>
        <v>-110076</v>
      </c>
      <c r="N42" s="77">
        <f t="shared" si="39"/>
        <v>-105702.33333333333</v>
      </c>
    </row>
    <row r="43" spans="1:17" x14ac:dyDescent="0.25">
      <c r="A43" s="119" t="s">
        <v>4</v>
      </c>
      <c r="B43" s="134">
        <v>12200</v>
      </c>
      <c r="C43" s="134">
        <v>10024</v>
      </c>
      <c r="D43" s="134">
        <v>9507</v>
      </c>
      <c r="E43" s="134">
        <v>9730</v>
      </c>
      <c r="J43" s="153" t="s">
        <v>4</v>
      </c>
      <c r="K43" s="77">
        <f t="shared" si="39"/>
        <v>-120835</v>
      </c>
      <c r="L43" s="77">
        <f t="shared" si="39"/>
        <v>-100120</v>
      </c>
      <c r="M43" s="77">
        <f t="shared" si="39"/>
        <v>-119287</v>
      </c>
      <c r="N43" s="77">
        <f t="shared" si="39"/>
        <v>-116905.66666666666</v>
      </c>
    </row>
    <row r="44" spans="1:17" x14ac:dyDescent="0.25">
      <c r="A44" s="119" t="s">
        <v>5</v>
      </c>
      <c r="B44" s="134">
        <v>17249</v>
      </c>
      <c r="C44" s="134">
        <v>13551</v>
      </c>
      <c r="D44" s="134">
        <v>14090</v>
      </c>
      <c r="E44" s="134">
        <v>16174</v>
      </c>
      <c r="J44" s="153" t="s">
        <v>5</v>
      </c>
      <c r="K44" s="77">
        <f t="shared" si="39"/>
        <v>-123991</v>
      </c>
      <c r="L44" s="77">
        <f t="shared" si="39"/>
        <v>-113155</v>
      </c>
      <c r="M44" s="77">
        <f t="shared" si="39"/>
        <v>-151345</v>
      </c>
      <c r="N44" s="77">
        <f t="shared" si="39"/>
        <v>-116648</v>
      </c>
    </row>
    <row r="45" spans="1:17" x14ac:dyDescent="0.25">
      <c r="A45" s="119" t="s">
        <v>6</v>
      </c>
      <c r="B45" s="134">
        <v>28152</v>
      </c>
      <c r="C45" s="134">
        <v>17116</v>
      </c>
      <c r="D45" s="134">
        <v>15016</v>
      </c>
      <c r="E45" s="134">
        <v>15406</v>
      </c>
      <c r="J45" s="153" t="s">
        <v>6</v>
      </c>
      <c r="K45" s="77">
        <f t="shared" si="39"/>
        <v>-142481</v>
      </c>
      <c r="L45" s="77">
        <f t="shared" si="39"/>
        <v>-132144</v>
      </c>
      <c r="M45" s="77">
        <f t="shared" si="39"/>
        <v>-118990</v>
      </c>
      <c r="N45" s="77">
        <f t="shared" si="39"/>
        <v>-135211</v>
      </c>
    </row>
    <row r="46" spans="1:17" x14ac:dyDescent="0.25">
      <c r="A46" s="119" t="s">
        <v>7</v>
      </c>
      <c r="B46" s="134">
        <v>23324</v>
      </c>
      <c r="C46" s="134">
        <v>15931</v>
      </c>
      <c r="D46" s="134">
        <v>16067</v>
      </c>
      <c r="E46" s="134">
        <v>18579</v>
      </c>
      <c r="J46" s="153" t="s">
        <v>7</v>
      </c>
      <c r="K46" s="77">
        <f t="shared" si="39"/>
        <v>-157320</v>
      </c>
      <c r="L46" s="77">
        <f t="shared" si="39"/>
        <v>-174950</v>
      </c>
      <c r="M46" s="77">
        <f t="shared" si="39"/>
        <v>-157440</v>
      </c>
      <c r="N46" s="77">
        <f t="shared" si="39"/>
        <v>-141954</v>
      </c>
    </row>
    <row r="47" spans="1:17" x14ac:dyDescent="0.25">
      <c r="A47" s="119" t="s">
        <v>8</v>
      </c>
      <c r="B47" s="134">
        <v>25047</v>
      </c>
      <c r="C47" s="134">
        <v>28771</v>
      </c>
      <c r="D47" s="134">
        <v>26180</v>
      </c>
      <c r="E47" s="134">
        <v>35733</v>
      </c>
      <c r="J47" s="153" t="s">
        <v>8</v>
      </c>
      <c r="K47" s="77">
        <f t="shared" si="39"/>
        <v>-133459</v>
      </c>
      <c r="L47" s="77">
        <f t="shared" si="39"/>
        <v>-100843</v>
      </c>
      <c r="M47" s="77">
        <f t="shared" si="39"/>
        <v>-123256</v>
      </c>
      <c r="N47" s="77">
        <f t="shared" si="39"/>
        <v>-124088</v>
      </c>
    </row>
    <row r="48" spans="1:17" x14ac:dyDescent="0.25">
      <c r="A48" s="119" t="s">
        <v>9</v>
      </c>
      <c r="B48" s="134">
        <v>65598</v>
      </c>
      <c r="C48" s="134">
        <v>41856</v>
      </c>
      <c r="D48" s="134">
        <v>31561</v>
      </c>
      <c r="E48" s="134">
        <v>42765</v>
      </c>
      <c r="J48" s="153" t="s">
        <v>9</v>
      </c>
      <c r="K48" s="77">
        <f t="shared" si="39"/>
        <v>-72551</v>
      </c>
      <c r="L48" s="77">
        <f t="shared" si="39"/>
        <v>-56899</v>
      </c>
      <c r="M48" s="77">
        <f t="shared" si="39"/>
        <v>-80105</v>
      </c>
      <c r="N48" s="77">
        <f t="shared" si="39"/>
        <v>-89361</v>
      </c>
    </row>
    <row r="49" spans="1:14" x14ac:dyDescent="0.25">
      <c r="A49" s="119" t="s">
        <v>10</v>
      </c>
      <c r="B49" s="134">
        <v>22642</v>
      </c>
      <c r="C49" s="134">
        <v>18904</v>
      </c>
      <c r="D49" s="134">
        <v>18799</v>
      </c>
      <c r="E49" s="134">
        <v>22155</v>
      </c>
      <c r="J49" s="153" t="s">
        <v>10</v>
      </c>
      <c r="K49" s="77">
        <f t="shared" si="39"/>
        <v>-129772</v>
      </c>
      <c r="L49" s="77">
        <f t="shared" si="39"/>
        <v>-139453</v>
      </c>
      <c r="M49" s="77">
        <f t="shared" si="39"/>
        <v>-142179</v>
      </c>
      <c r="N49" s="77">
        <f t="shared" si="39"/>
        <v>-124893.66666666666</v>
      </c>
    </row>
    <row r="50" spans="1:14" x14ac:dyDescent="0.25">
      <c r="A50" s="119" t="s">
        <v>11</v>
      </c>
      <c r="B50" s="134">
        <v>16982</v>
      </c>
      <c r="C50" s="134">
        <v>18659</v>
      </c>
      <c r="D50" s="134">
        <v>17368</v>
      </c>
      <c r="E50" s="134">
        <v>18301</v>
      </c>
      <c r="J50" s="153" t="s">
        <v>11</v>
      </c>
      <c r="K50" s="77">
        <f t="shared" si="39"/>
        <v>-98008</v>
      </c>
      <c r="L50" s="77">
        <f t="shared" si="39"/>
        <v>-95945</v>
      </c>
      <c r="M50" s="77">
        <f t="shared" si="39"/>
        <v>-117250</v>
      </c>
      <c r="N50" s="77">
        <f t="shared" si="39"/>
        <v>-112079.66666666666</v>
      </c>
    </row>
    <row r="51" spans="1:14" x14ac:dyDescent="0.25">
      <c r="A51" s="119" t="s">
        <v>12</v>
      </c>
      <c r="B51" s="134">
        <v>8721</v>
      </c>
      <c r="C51" s="134">
        <v>8266</v>
      </c>
      <c r="D51" s="134">
        <v>9269</v>
      </c>
      <c r="E51" s="134"/>
      <c r="J51" s="153" t="s">
        <v>12</v>
      </c>
      <c r="K51" s="77">
        <f t="shared" si="39"/>
        <v>-105093</v>
      </c>
      <c r="L51" s="77">
        <f t="shared" si="39"/>
        <v>-111098</v>
      </c>
      <c r="M51" s="77">
        <f t="shared" si="39"/>
        <v>-116789</v>
      </c>
      <c r="N51" s="77"/>
    </row>
    <row r="52" spans="1:14" ht="15.75" thickBot="1" x14ac:dyDescent="0.3">
      <c r="A52" s="119" t="s">
        <v>13</v>
      </c>
      <c r="B52" s="134">
        <v>10799</v>
      </c>
      <c r="C52" s="134">
        <v>9316</v>
      </c>
      <c r="D52" s="134">
        <v>11576</v>
      </c>
      <c r="E52" s="134"/>
      <c r="J52" s="168" t="s">
        <v>13</v>
      </c>
      <c r="K52" s="43">
        <f t="shared" si="39"/>
        <v>-97444</v>
      </c>
      <c r="L52" s="43">
        <f t="shared" si="39"/>
        <v>-125415</v>
      </c>
      <c r="M52" s="43">
        <f t="shared" si="39"/>
        <v>-110971</v>
      </c>
      <c r="N52" s="43"/>
    </row>
    <row r="53" spans="1:14" ht="16.5" thickTop="1" thickBot="1" x14ac:dyDescent="0.3">
      <c r="A53" s="128" t="s">
        <v>0</v>
      </c>
      <c r="B53" s="129">
        <f t="shared" ref="B53:D53" si="40">SUM(B41:B52)</f>
        <v>245769</v>
      </c>
      <c r="C53" s="129">
        <f t="shared" si="40"/>
        <v>198406</v>
      </c>
      <c r="D53" s="129">
        <f t="shared" si="40"/>
        <v>183881</v>
      </c>
      <c r="E53" s="129">
        <f>SUM(E41:E52)</f>
        <v>195654</v>
      </c>
      <c r="J53" s="169" t="s">
        <v>0</v>
      </c>
      <c r="K53" s="170">
        <f>SUM(K41:K52)</f>
        <v>-1438851</v>
      </c>
      <c r="L53" s="170">
        <f>SUM(L41:L52)</f>
        <v>-1358271</v>
      </c>
      <c r="M53" s="170">
        <f>SUM(M41:M52)</f>
        <v>-1477583</v>
      </c>
      <c r="N53" s="170">
        <f>SUM(N41:N52)</f>
        <v>-1192218</v>
      </c>
    </row>
    <row r="54" spans="1:14" ht="15.75" thickTop="1" x14ac:dyDescent="0.25"/>
    <row r="55" spans="1:14" ht="15.75" thickBot="1" x14ac:dyDescent="0.3"/>
    <row r="56" spans="1:14" ht="17.25" thickTop="1" thickBot="1" x14ac:dyDescent="0.3">
      <c r="A56" s="140" t="s">
        <v>78</v>
      </c>
      <c r="B56" s="141"/>
      <c r="C56" s="141"/>
      <c r="D56" s="141"/>
      <c r="E56" s="141"/>
    </row>
    <row r="57" spans="1:14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</row>
    <row r="58" spans="1:14" x14ac:dyDescent="0.25">
      <c r="A58" s="119" t="s">
        <v>2</v>
      </c>
      <c r="B58" s="134">
        <f t="shared" ref="B58:E69" si="41">B22+B41</f>
        <v>23475</v>
      </c>
      <c r="C58" s="134">
        <f t="shared" si="41"/>
        <v>23640</v>
      </c>
      <c r="D58" s="134">
        <f t="shared" si="41"/>
        <v>22515</v>
      </c>
      <c r="E58" s="134">
        <f t="shared" si="41"/>
        <v>19158</v>
      </c>
    </row>
    <row r="59" spans="1:14" x14ac:dyDescent="0.25">
      <c r="A59" s="119" t="s">
        <v>3</v>
      </c>
      <c r="B59" s="134">
        <f t="shared" si="41"/>
        <v>17545</v>
      </c>
      <c r="C59" s="134">
        <f t="shared" si="41"/>
        <v>19755</v>
      </c>
      <c r="D59" s="134">
        <f t="shared" si="41"/>
        <v>21545</v>
      </c>
      <c r="E59" s="134">
        <f t="shared" si="41"/>
        <v>20444</v>
      </c>
      <c r="I59" s="45"/>
    </row>
    <row r="60" spans="1:14" x14ac:dyDescent="0.25">
      <c r="A60" s="119" t="s">
        <v>4</v>
      </c>
      <c r="B60" s="134">
        <f t="shared" si="41"/>
        <v>23126</v>
      </c>
      <c r="C60" s="134">
        <f t="shared" si="41"/>
        <v>24293</v>
      </c>
      <c r="D60" s="134">
        <f t="shared" si="41"/>
        <v>24332</v>
      </c>
      <c r="E60" s="134">
        <f t="shared" si="41"/>
        <v>22597</v>
      </c>
    </row>
    <row r="61" spans="1:14" x14ac:dyDescent="0.25">
      <c r="A61" s="119" t="s">
        <v>5</v>
      </c>
      <c r="B61" s="134">
        <f t="shared" si="41"/>
        <v>50208</v>
      </c>
      <c r="C61" s="134">
        <f t="shared" si="41"/>
        <v>52736</v>
      </c>
      <c r="D61" s="134">
        <f t="shared" si="41"/>
        <v>61369</v>
      </c>
      <c r="E61" s="134">
        <f t="shared" si="41"/>
        <v>68628</v>
      </c>
    </row>
    <row r="62" spans="1:14" x14ac:dyDescent="0.25">
      <c r="A62" s="119" t="s">
        <v>6</v>
      </c>
      <c r="B62" s="134">
        <f t="shared" si="41"/>
        <v>87018</v>
      </c>
      <c r="C62" s="134">
        <f t="shared" si="41"/>
        <v>89995</v>
      </c>
      <c r="D62" s="134">
        <f t="shared" si="41"/>
        <v>73216</v>
      </c>
      <c r="E62" s="134">
        <f t="shared" si="41"/>
        <v>69498</v>
      </c>
    </row>
    <row r="63" spans="1:14" x14ac:dyDescent="0.25">
      <c r="A63" s="119" t="s">
        <v>7</v>
      </c>
      <c r="B63" s="134">
        <f t="shared" si="41"/>
        <v>93063</v>
      </c>
      <c r="C63" s="134">
        <f t="shared" si="41"/>
        <v>87642</v>
      </c>
      <c r="D63" s="134">
        <f t="shared" si="41"/>
        <v>82833</v>
      </c>
      <c r="E63" s="134">
        <f t="shared" si="41"/>
        <v>87385</v>
      </c>
    </row>
    <row r="64" spans="1:14" x14ac:dyDescent="0.25">
      <c r="A64" s="119" t="s">
        <v>8</v>
      </c>
      <c r="B64" s="134">
        <f t="shared" si="41"/>
        <v>146985</v>
      </c>
      <c r="C64" s="134">
        <f t="shared" si="41"/>
        <v>155953</v>
      </c>
      <c r="D64" s="134">
        <f t="shared" si="41"/>
        <v>152092</v>
      </c>
      <c r="E64" s="134">
        <f t="shared" si="41"/>
        <v>166071</v>
      </c>
    </row>
    <row r="65" spans="1:11" x14ac:dyDescent="0.25">
      <c r="A65" s="119" t="s">
        <v>9</v>
      </c>
      <c r="B65" s="134">
        <f t="shared" si="41"/>
        <v>212208</v>
      </c>
      <c r="C65" s="134">
        <f t="shared" si="41"/>
        <v>205401</v>
      </c>
      <c r="D65" s="134">
        <f t="shared" si="41"/>
        <v>191910</v>
      </c>
      <c r="E65" s="134">
        <f t="shared" si="41"/>
        <v>197108</v>
      </c>
      <c r="I65" s="120"/>
    </row>
    <row r="66" spans="1:11" x14ac:dyDescent="0.25">
      <c r="A66" s="119" t="s">
        <v>10</v>
      </c>
      <c r="B66" s="134">
        <f t="shared" si="41"/>
        <v>95974</v>
      </c>
      <c r="C66" s="134">
        <f t="shared" si="41"/>
        <v>102306</v>
      </c>
      <c r="D66" s="134">
        <f t="shared" si="41"/>
        <v>93667</v>
      </c>
      <c r="E66" s="134">
        <f t="shared" si="41"/>
        <v>97535</v>
      </c>
      <c r="I66" s="154"/>
      <c r="J66" s="127"/>
    </row>
    <row r="67" spans="1:11" x14ac:dyDescent="0.25">
      <c r="A67" s="119" t="s">
        <v>11</v>
      </c>
      <c r="B67" s="134">
        <f t="shared" si="41"/>
        <v>57180</v>
      </c>
      <c r="C67" s="134">
        <f t="shared" si="41"/>
        <v>70483</v>
      </c>
      <c r="D67" s="134">
        <f t="shared" si="41"/>
        <v>59171</v>
      </c>
      <c r="E67" s="134">
        <f t="shared" si="41"/>
        <v>64855</v>
      </c>
      <c r="I67" s="127"/>
      <c r="J67" s="127"/>
      <c r="K67" s="122"/>
    </row>
    <row r="68" spans="1:11" x14ac:dyDescent="0.25">
      <c r="A68" s="119" t="s">
        <v>12</v>
      </c>
      <c r="B68" s="134">
        <f t="shared" si="41"/>
        <v>23899</v>
      </c>
      <c r="C68" s="134">
        <f t="shared" si="41"/>
        <v>21204</v>
      </c>
      <c r="D68" s="134">
        <f t="shared" si="41"/>
        <v>23059</v>
      </c>
      <c r="E68" s="134"/>
      <c r="I68" s="127"/>
      <c r="J68" s="127"/>
      <c r="K68" s="122"/>
    </row>
    <row r="69" spans="1:11" ht="15.75" thickBot="1" x14ac:dyDescent="0.3">
      <c r="A69" s="119" t="s">
        <v>13</v>
      </c>
      <c r="B69" s="134">
        <f t="shared" si="41"/>
        <v>30079</v>
      </c>
      <c r="C69" s="134">
        <f t="shared" si="41"/>
        <v>29592</v>
      </c>
      <c r="D69" s="134">
        <f t="shared" si="41"/>
        <v>29738</v>
      </c>
      <c r="E69" s="134"/>
    </row>
    <row r="70" spans="1:11" ht="16.5" thickTop="1" thickBot="1" x14ac:dyDescent="0.3">
      <c r="A70" s="128" t="s">
        <v>0</v>
      </c>
      <c r="B70" s="129">
        <f t="shared" ref="B70" si="42">SUM(B58:B69)</f>
        <v>860760</v>
      </c>
      <c r="C70" s="129">
        <f>SUM(C58:C69)</f>
        <v>883000</v>
      </c>
      <c r="D70" s="129">
        <f>SUM(D58:D69)</f>
        <v>835447</v>
      </c>
      <c r="E70" s="129">
        <f>SUM(E58:E69)</f>
        <v>813279</v>
      </c>
    </row>
    <row r="71" spans="1:11" ht="16.5" thickTop="1" thickBot="1" x14ac:dyDescent="0.3"/>
    <row r="72" spans="1:11" ht="17.25" thickTop="1" thickBot="1" x14ac:dyDescent="0.3">
      <c r="A72" s="140" t="s">
        <v>119</v>
      </c>
      <c r="B72" s="141"/>
      <c r="C72" s="141"/>
      <c r="D72" s="141"/>
      <c r="E72" s="141"/>
    </row>
    <row r="73" spans="1:11" ht="16.5" thickTop="1" x14ac:dyDescent="0.25">
      <c r="A73" s="124"/>
      <c r="B73" s="156">
        <v>2014</v>
      </c>
      <c r="C73" s="125">
        <v>2015</v>
      </c>
      <c r="D73" s="125">
        <v>2016</v>
      </c>
      <c r="E73" s="125">
        <v>2017</v>
      </c>
    </row>
    <row r="74" spans="1:11" x14ac:dyDescent="0.25">
      <c r="A74" s="155" t="s">
        <v>2</v>
      </c>
      <c r="B74" s="118">
        <v>487</v>
      </c>
      <c r="C74" s="84">
        <v>0</v>
      </c>
      <c r="D74" s="84">
        <v>1924</v>
      </c>
      <c r="E74" s="84">
        <v>1218</v>
      </c>
    </row>
    <row r="75" spans="1:11" x14ac:dyDescent="0.25">
      <c r="A75" s="155" t="s">
        <v>3</v>
      </c>
      <c r="B75" s="84">
        <v>2728</v>
      </c>
      <c r="C75" s="118">
        <v>169</v>
      </c>
      <c r="D75" s="84">
        <v>1863</v>
      </c>
      <c r="E75" s="84">
        <v>1309</v>
      </c>
    </row>
    <row r="76" spans="1:11" x14ac:dyDescent="0.25">
      <c r="A76" s="155" t="s">
        <v>4</v>
      </c>
      <c r="B76" s="84">
        <v>4536</v>
      </c>
      <c r="C76" s="84">
        <v>0</v>
      </c>
      <c r="D76" s="84">
        <v>1478</v>
      </c>
      <c r="E76" s="118">
        <v>909</v>
      </c>
    </row>
    <row r="77" spans="1:11" x14ac:dyDescent="0.25">
      <c r="A77" s="155" t="s">
        <v>5</v>
      </c>
      <c r="B77" s="84">
        <v>3549</v>
      </c>
      <c r="C77" s="84">
        <v>1714</v>
      </c>
      <c r="D77" s="84">
        <v>5333</v>
      </c>
      <c r="E77" s="84">
        <v>6795</v>
      </c>
    </row>
    <row r="78" spans="1:11" x14ac:dyDescent="0.25">
      <c r="A78" s="155" t="s">
        <v>6</v>
      </c>
      <c r="B78" s="84">
        <v>8873</v>
      </c>
      <c r="C78" s="84">
        <v>8935</v>
      </c>
      <c r="D78" s="84">
        <v>3269</v>
      </c>
      <c r="E78" s="84">
        <v>3648</v>
      </c>
    </row>
    <row r="79" spans="1:11" x14ac:dyDescent="0.25">
      <c r="A79" s="155" t="s">
        <v>7</v>
      </c>
      <c r="B79" s="84">
        <v>13115</v>
      </c>
      <c r="C79" s="84">
        <v>12093</v>
      </c>
      <c r="D79" s="84">
        <v>11713</v>
      </c>
      <c r="E79" s="84">
        <v>7306</v>
      </c>
    </row>
    <row r="80" spans="1:11" x14ac:dyDescent="0.25">
      <c r="A80" s="155" t="s">
        <v>8</v>
      </c>
      <c r="B80" s="84">
        <v>37841</v>
      </c>
      <c r="C80" s="84">
        <v>34854</v>
      </c>
      <c r="D80" s="84">
        <v>45055</v>
      </c>
      <c r="E80" s="84">
        <v>41855</v>
      </c>
    </row>
    <row r="81" spans="1:5" x14ac:dyDescent="0.25">
      <c r="A81" s="155" t="s">
        <v>9</v>
      </c>
      <c r="B81" s="84">
        <v>70082</v>
      </c>
      <c r="C81" s="84">
        <v>55022</v>
      </c>
      <c r="D81" s="84">
        <v>44008</v>
      </c>
      <c r="E81" s="84">
        <v>56429</v>
      </c>
    </row>
    <row r="82" spans="1:5" x14ac:dyDescent="0.25">
      <c r="A82" s="155" t="s">
        <v>10</v>
      </c>
      <c r="B82" s="84">
        <v>10640</v>
      </c>
      <c r="C82" s="84">
        <v>14618</v>
      </c>
      <c r="D82" s="84">
        <v>11465</v>
      </c>
      <c r="E82" s="84">
        <v>12242</v>
      </c>
    </row>
    <row r="83" spans="1:5" x14ac:dyDescent="0.25">
      <c r="A83" s="155" t="s">
        <v>11</v>
      </c>
      <c r="B83" s="84">
        <v>1041</v>
      </c>
      <c r="C83" s="84">
        <v>1348</v>
      </c>
      <c r="D83" s="84">
        <v>3794</v>
      </c>
      <c r="E83" s="84">
        <v>0</v>
      </c>
    </row>
    <row r="84" spans="1:5" x14ac:dyDescent="0.25">
      <c r="A84" s="155" t="s">
        <v>12</v>
      </c>
      <c r="B84" s="118">
        <v>888</v>
      </c>
      <c r="C84" s="84">
        <v>1193</v>
      </c>
      <c r="D84" s="118">
        <v>629</v>
      </c>
      <c r="E84" s="84"/>
    </row>
    <row r="85" spans="1:5" ht="15.75" thickBot="1" x14ac:dyDescent="0.3">
      <c r="A85" s="155" t="s">
        <v>13</v>
      </c>
      <c r="B85" s="158">
        <v>1498</v>
      </c>
      <c r="C85" s="113">
        <v>1498</v>
      </c>
      <c r="D85" s="113">
        <v>1204</v>
      </c>
      <c r="E85" s="132"/>
    </row>
    <row r="86" spans="1:5" ht="16.5" thickTop="1" thickBot="1" x14ac:dyDescent="0.3">
      <c r="A86" s="128" t="s">
        <v>0</v>
      </c>
      <c r="B86" s="137">
        <f t="shared" ref="B86:D86" si="43">SUM(B74:B85)</f>
        <v>155278</v>
      </c>
      <c r="C86" s="129">
        <f t="shared" si="43"/>
        <v>131444</v>
      </c>
      <c r="D86" s="129">
        <f t="shared" si="43"/>
        <v>131735</v>
      </c>
      <c r="E86" s="129">
        <f>SUM(E74:E85)</f>
        <v>131711</v>
      </c>
    </row>
    <row r="87" spans="1:5" ht="16.5" thickTop="1" thickBot="1" x14ac:dyDescent="0.3"/>
    <row r="88" spans="1:5" ht="17.25" thickTop="1" thickBot="1" x14ac:dyDescent="0.3">
      <c r="A88" s="140" t="s">
        <v>123</v>
      </c>
      <c r="B88" s="141"/>
      <c r="C88" s="141"/>
      <c r="D88" s="141"/>
      <c r="E88" s="141"/>
    </row>
    <row r="89" spans="1:5" ht="16.5" thickTop="1" x14ac:dyDescent="0.25">
      <c r="A89" s="124"/>
      <c r="B89" s="125">
        <v>2014</v>
      </c>
      <c r="C89" s="125">
        <v>2015</v>
      </c>
      <c r="D89" s="125">
        <v>2016</v>
      </c>
      <c r="E89" s="125">
        <v>2017</v>
      </c>
    </row>
    <row r="90" spans="1:5" x14ac:dyDescent="0.25">
      <c r="A90" s="119" t="s">
        <v>2</v>
      </c>
      <c r="B90" s="77">
        <f>B58+B74</f>
        <v>23962</v>
      </c>
      <c r="C90" s="77">
        <f t="shared" ref="C90:E90" si="44">C58+C74</f>
        <v>23640</v>
      </c>
      <c r="D90" s="77">
        <f t="shared" si="44"/>
        <v>24439</v>
      </c>
      <c r="E90" s="77">
        <f t="shared" si="44"/>
        <v>20376</v>
      </c>
    </row>
    <row r="91" spans="1:5" x14ac:dyDescent="0.25">
      <c r="A91" s="119" t="s">
        <v>3</v>
      </c>
      <c r="B91" s="77">
        <f t="shared" ref="B91:E101" si="45">B59+B75</f>
        <v>20273</v>
      </c>
      <c r="C91" s="77">
        <f t="shared" si="45"/>
        <v>19924</v>
      </c>
      <c r="D91" s="77">
        <f t="shared" si="45"/>
        <v>23408</v>
      </c>
      <c r="E91" s="77">
        <f t="shared" si="45"/>
        <v>21753</v>
      </c>
    </row>
    <row r="92" spans="1:5" x14ac:dyDescent="0.25">
      <c r="A92" s="119" t="s">
        <v>4</v>
      </c>
      <c r="B92" s="77">
        <f t="shared" si="45"/>
        <v>27662</v>
      </c>
      <c r="C92" s="77">
        <f t="shared" si="45"/>
        <v>24293</v>
      </c>
      <c r="D92" s="77">
        <f t="shared" si="45"/>
        <v>25810</v>
      </c>
      <c r="E92" s="77">
        <f t="shared" si="45"/>
        <v>23506</v>
      </c>
    </row>
    <row r="93" spans="1:5" x14ac:dyDescent="0.25">
      <c r="A93" s="119" t="s">
        <v>5</v>
      </c>
      <c r="B93" s="77">
        <f t="shared" si="45"/>
        <v>53757</v>
      </c>
      <c r="C93" s="77">
        <f t="shared" si="45"/>
        <v>54450</v>
      </c>
      <c r="D93" s="77">
        <f t="shared" si="45"/>
        <v>66702</v>
      </c>
      <c r="E93" s="77">
        <f t="shared" si="45"/>
        <v>75423</v>
      </c>
    </row>
    <row r="94" spans="1:5" x14ac:dyDescent="0.25">
      <c r="A94" s="119" t="s">
        <v>6</v>
      </c>
      <c r="B94" s="77">
        <f t="shared" si="45"/>
        <v>95891</v>
      </c>
      <c r="C94" s="77">
        <f t="shared" si="45"/>
        <v>98930</v>
      </c>
      <c r="D94" s="77">
        <f t="shared" si="45"/>
        <v>76485</v>
      </c>
      <c r="E94" s="77">
        <f t="shared" si="45"/>
        <v>73146</v>
      </c>
    </row>
    <row r="95" spans="1:5" x14ac:dyDescent="0.25">
      <c r="A95" s="119" t="s">
        <v>7</v>
      </c>
      <c r="B95" s="77">
        <f t="shared" si="45"/>
        <v>106178</v>
      </c>
      <c r="C95" s="77">
        <f t="shared" si="45"/>
        <v>99735</v>
      </c>
      <c r="D95" s="77">
        <f t="shared" si="45"/>
        <v>94546</v>
      </c>
      <c r="E95" s="77">
        <f t="shared" si="45"/>
        <v>94691</v>
      </c>
    </row>
    <row r="96" spans="1:5" x14ac:dyDescent="0.25">
      <c r="A96" s="119" t="s">
        <v>8</v>
      </c>
      <c r="B96" s="77">
        <f t="shared" si="45"/>
        <v>184826</v>
      </c>
      <c r="C96" s="77">
        <f t="shared" si="45"/>
        <v>190807</v>
      </c>
      <c r="D96" s="77">
        <f t="shared" si="45"/>
        <v>197147</v>
      </c>
      <c r="E96" s="77">
        <f t="shared" si="45"/>
        <v>207926</v>
      </c>
    </row>
    <row r="97" spans="1:8" x14ac:dyDescent="0.25">
      <c r="A97" s="119" t="s">
        <v>9</v>
      </c>
      <c r="B97" s="77">
        <f t="shared" si="45"/>
        <v>282290</v>
      </c>
      <c r="C97" s="77">
        <f t="shared" si="45"/>
        <v>260423</v>
      </c>
      <c r="D97" s="77">
        <f t="shared" si="45"/>
        <v>235918</v>
      </c>
      <c r="E97" s="77">
        <f t="shared" si="45"/>
        <v>253537</v>
      </c>
    </row>
    <row r="98" spans="1:8" x14ac:dyDescent="0.25">
      <c r="A98" s="119" t="s">
        <v>10</v>
      </c>
      <c r="B98" s="77">
        <f t="shared" si="45"/>
        <v>106614</v>
      </c>
      <c r="C98" s="77">
        <f t="shared" si="45"/>
        <v>116924</v>
      </c>
      <c r="D98" s="77">
        <f t="shared" si="45"/>
        <v>105132</v>
      </c>
      <c r="E98" s="77">
        <f t="shared" si="45"/>
        <v>109777</v>
      </c>
    </row>
    <row r="99" spans="1:8" x14ac:dyDescent="0.25">
      <c r="A99" s="119" t="s">
        <v>11</v>
      </c>
      <c r="B99" s="77">
        <f t="shared" si="45"/>
        <v>58221</v>
      </c>
      <c r="C99" s="77">
        <f t="shared" si="45"/>
        <v>71831</v>
      </c>
      <c r="D99" s="77">
        <f t="shared" si="45"/>
        <v>62965</v>
      </c>
      <c r="E99" s="77">
        <f t="shared" si="45"/>
        <v>64855</v>
      </c>
    </row>
    <row r="100" spans="1:8" x14ac:dyDescent="0.25">
      <c r="A100" s="119" t="s">
        <v>12</v>
      </c>
      <c r="B100" s="77">
        <f t="shared" si="45"/>
        <v>24787</v>
      </c>
      <c r="C100" s="77">
        <f t="shared" si="45"/>
        <v>22397</v>
      </c>
      <c r="D100" s="77">
        <f t="shared" si="45"/>
        <v>23688</v>
      </c>
      <c r="E100" s="77">
        <f t="shared" si="45"/>
        <v>0</v>
      </c>
    </row>
    <row r="101" spans="1:8" ht="15.75" thickBot="1" x14ac:dyDescent="0.3">
      <c r="A101" s="139" t="s">
        <v>13</v>
      </c>
      <c r="B101" s="43">
        <f t="shared" si="45"/>
        <v>31577</v>
      </c>
      <c r="C101" s="43">
        <f t="shared" si="45"/>
        <v>31090</v>
      </c>
      <c r="D101" s="43">
        <f t="shared" si="45"/>
        <v>30942</v>
      </c>
      <c r="E101" s="43">
        <f t="shared" si="45"/>
        <v>0</v>
      </c>
    </row>
    <row r="102" spans="1:8" ht="16.5" thickTop="1" thickBot="1" x14ac:dyDescent="0.3">
      <c r="A102" s="138" t="s">
        <v>0</v>
      </c>
      <c r="B102" s="137">
        <f t="shared" ref="B102:C102" si="46">SUM(B90:B101)</f>
        <v>1016038</v>
      </c>
      <c r="C102" s="137">
        <f t="shared" si="46"/>
        <v>1014444</v>
      </c>
      <c r="D102" s="137">
        <f>SUM(D90:D101)</f>
        <v>967182</v>
      </c>
      <c r="E102" s="137">
        <f>SUM(E90:E101)</f>
        <v>944990</v>
      </c>
    </row>
    <row r="103" spans="1:8" ht="16.5" thickTop="1" thickBot="1" x14ac:dyDescent="0.3"/>
    <row r="104" spans="1:8" ht="17.25" thickTop="1" thickBot="1" x14ac:dyDescent="0.3">
      <c r="A104" s="140" t="s">
        <v>130</v>
      </c>
      <c r="B104" s="142"/>
    </row>
    <row r="105" spans="1:8" ht="16.5" thickTop="1" x14ac:dyDescent="0.25">
      <c r="A105" s="124"/>
      <c r="B105" s="125">
        <v>2014</v>
      </c>
      <c r="C105" s="125">
        <v>2015</v>
      </c>
      <c r="D105" s="125">
        <v>2016</v>
      </c>
      <c r="E105" s="125">
        <v>2017</v>
      </c>
      <c r="F105" s="126" t="s">
        <v>1</v>
      </c>
      <c r="G105" s="117" t="s">
        <v>18</v>
      </c>
      <c r="H105" s="117" t="s">
        <v>17</v>
      </c>
    </row>
    <row r="106" spans="1:8" x14ac:dyDescent="0.25">
      <c r="A106" s="119" t="s">
        <v>2</v>
      </c>
      <c r="B106" s="83">
        <v>19949</v>
      </c>
      <c r="C106" s="84">
        <v>3996</v>
      </c>
      <c r="D106" s="84">
        <v>20190</v>
      </c>
      <c r="E106" s="179">
        <f t="shared" ref="E106:F117" si="47">AVERAGE(A106:D106)</f>
        <v>14711.666666666666</v>
      </c>
      <c r="F106" s="127">
        <f t="shared" si="47"/>
        <v>14711.666666666666</v>
      </c>
      <c r="G106" s="127">
        <f t="shared" ref="G106:G117" si="48">STDEVA(B106:E106)</f>
        <v>7577.7593140863382</v>
      </c>
      <c r="H106" s="127">
        <f t="shared" ref="H106:H117" si="49">STDEVA(B106:E106)</f>
        <v>7577.7593140863382</v>
      </c>
    </row>
    <row r="107" spans="1:8" x14ac:dyDescent="0.25">
      <c r="A107" s="119" t="s">
        <v>3</v>
      </c>
      <c r="B107" s="83">
        <v>21714</v>
      </c>
      <c r="C107" s="84">
        <v>4000</v>
      </c>
      <c r="D107" s="84">
        <v>7722</v>
      </c>
      <c r="E107" s="179">
        <f t="shared" si="47"/>
        <v>11145.333333333334</v>
      </c>
      <c r="F107" s="127">
        <f t="shared" si="47"/>
        <v>11145.333333333334</v>
      </c>
      <c r="G107" s="127">
        <f t="shared" si="48"/>
        <v>7626.0893138109932</v>
      </c>
      <c r="H107" s="127">
        <f t="shared" si="49"/>
        <v>7626.0893138109932</v>
      </c>
    </row>
    <row r="108" spans="1:8" x14ac:dyDescent="0.25">
      <c r="A108" s="119" t="s">
        <v>4</v>
      </c>
      <c r="B108" s="83">
        <f>25502</f>
        <v>25502</v>
      </c>
      <c r="C108" s="84">
        <v>0</v>
      </c>
      <c r="D108" s="84">
        <v>12192</v>
      </c>
      <c r="E108" s="179">
        <f t="shared" si="47"/>
        <v>12564.666666666666</v>
      </c>
      <c r="F108" s="127">
        <f t="shared" si="47"/>
        <v>12564.666666666666</v>
      </c>
      <c r="G108" s="127">
        <f t="shared" si="48"/>
        <v>10414.482266963101</v>
      </c>
      <c r="H108" s="127">
        <f t="shared" si="49"/>
        <v>10414.482266963101</v>
      </c>
    </row>
    <row r="109" spans="1:8" x14ac:dyDescent="0.25">
      <c r="A109" s="119" t="s">
        <v>5</v>
      </c>
      <c r="B109" s="83">
        <v>15714</v>
      </c>
      <c r="C109" s="84">
        <v>4200</v>
      </c>
      <c r="D109" s="84">
        <v>23976</v>
      </c>
      <c r="E109" s="179">
        <f t="shared" si="47"/>
        <v>14630</v>
      </c>
      <c r="F109" s="127">
        <f t="shared" si="47"/>
        <v>14630</v>
      </c>
      <c r="G109" s="127">
        <f t="shared" si="48"/>
        <v>8109.8226861010962</v>
      </c>
      <c r="H109" s="127">
        <f t="shared" si="49"/>
        <v>8109.8226861010962</v>
      </c>
    </row>
    <row r="110" spans="1:8" x14ac:dyDescent="0.25">
      <c r="A110" s="119" t="s">
        <v>6</v>
      </c>
      <c r="B110" s="84">
        <v>28584</v>
      </c>
      <c r="C110" s="84">
        <v>31568</v>
      </c>
      <c r="D110" s="84">
        <v>19576</v>
      </c>
      <c r="E110" s="179">
        <f t="shared" si="47"/>
        <v>26576</v>
      </c>
      <c r="F110" s="127">
        <f t="shared" si="47"/>
        <v>26576</v>
      </c>
      <c r="G110" s="127">
        <f t="shared" si="48"/>
        <v>5097.4545281607634</v>
      </c>
      <c r="H110" s="127">
        <f t="shared" si="49"/>
        <v>5097.4545281607634</v>
      </c>
    </row>
    <row r="111" spans="1:8" x14ac:dyDescent="0.25">
      <c r="A111" s="119" t="s">
        <v>7</v>
      </c>
      <c r="B111" s="84">
        <v>44430</v>
      </c>
      <c r="C111" s="84">
        <v>44264</v>
      </c>
      <c r="D111" s="84">
        <v>40438</v>
      </c>
      <c r="E111" s="179">
        <f t="shared" si="47"/>
        <v>43044</v>
      </c>
      <c r="F111" s="127">
        <f t="shared" si="47"/>
        <v>43044</v>
      </c>
      <c r="G111" s="127">
        <f t="shared" si="48"/>
        <v>1843.9660155942859</v>
      </c>
      <c r="H111" s="127">
        <f t="shared" si="49"/>
        <v>1843.9660155942859</v>
      </c>
    </row>
    <row r="112" spans="1:8" x14ac:dyDescent="0.25">
      <c r="A112" s="119" t="s">
        <v>8</v>
      </c>
      <c r="B112" s="118">
        <f>54126+22620</f>
        <v>76746</v>
      </c>
      <c r="C112" s="84">
        <v>59917</v>
      </c>
      <c r="D112" s="84">
        <v>76979</v>
      </c>
      <c r="E112" s="179">
        <f t="shared" si="47"/>
        <v>71214</v>
      </c>
      <c r="F112" s="127">
        <f t="shared" si="47"/>
        <v>71214</v>
      </c>
      <c r="G112" s="127">
        <f t="shared" si="48"/>
        <v>7988.7516338077921</v>
      </c>
      <c r="H112" s="127">
        <f t="shared" si="49"/>
        <v>7988.7516338077921</v>
      </c>
    </row>
    <row r="113" spans="1:8" x14ac:dyDescent="0.25">
      <c r="A113" s="119" t="s">
        <v>9</v>
      </c>
      <c r="B113" s="118">
        <f>83293+36233</f>
        <v>119526</v>
      </c>
      <c r="C113" s="84">
        <v>78054</v>
      </c>
      <c r="D113" s="84">
        <v>59604</v>
      </c>
      <c r="E113" s="179">
        <f t="shared" si="47"/>
        <v>85728</v>
      </c>
      <c r="F113" s="127">
        <f t="shared" si="47"/>
        <v>85728</v>
      </c>
      <c r="G113" s="127">
        <f t="shared" si="48"/>
        <v>25057.656554434616</v>
      </c>
      <c r="H113" s="127">
        <f t="shared" si="49"/>
        <v>25057.656554434616</v>
      </c>
    </row>
    <row r="114" spans="1:8" x14ac:dyDescent="0.25">
      <c r="A114" s="119" t="s">
        <v>10</v>
      </c>
      <c r="B114" s="84">
        <v>34404</v>
      </c>
      <c r="C114" s="84">
        <v>38196</v>
      </c>
      <c r="D114" s="84">
        <v>30647</v>
      </c>
      <c r="E114" s="179">
        <f t="shared" si="47"/>
        <v>34415.666666666664</v>
      </c>
      <c r="F114" s="127">
        <f t="shared" si="47"/>
        <v>34415.666666666664</v>
      </c>
      <c r="G114" s="127">
        <f t="shared" si="48"/>
        <v>3081.8773859811849</v>
      </c>
      <c r="H114" s="127">
        <f t="shared" si="49"/>
        <v>3081.8773859811849</v>
      </c>
    </row>
    <row r="115" spans="1:8" x14ac:dyDescent="0.25">
      <c r="A115" s="119" t="s">
        <v>11</v>
      </c>
      <c r="B115" s="84">
        <v>3861</v>
      </c>
      <c r="C115" s="84">
        <v>5688</v>
      </c>
      <c r="D115" s="84">
        <v>18800</v>
      </c>
      <c r="E115" s="179">
        <f t="shared" si="47"/>
        <v>9449.6666666666661</v>
      </c>
      <c r="F115" s="127">
        <f t="shared" si="47"/>
        <v>9449.6666666666661</v>
      </c>
      <c r="G115" s="127">
        <f t="shared" si="48"/>
        <v>6653.6221881184565</v>
      </c>
      <c r="H115" s="127">
        <f t="shared" si="49"/>
        <v>6653.6221881184565</v>
      </c>
    </row>
    <row r="116" spans="1:8" x14ac:dyDescent="0.25">
      <c r="A116" s="119" t="s">
        <v>12</v>
      </c>
      <c r="B116" s="84">
        <v>3930</v>
      </c>
      <c r="C116" s="84">
        <v>11514</v>
      </c>
      <c r="D116" s="84">
        <v>11652</v>
      </c>
      <c r="E116" s="179"/>
      <c r="F116" s="127">
        <f t="shared" si="47"/>
        <v>9032</v>
      </c>
      <c r="G116" s="127">
        <f t="shared" si="48"/>
        <v>4419.0003394432997</v>
      </c>
      <c r="H116" s="127">
        <f t="shared" si="49"/>
        <v>4419.0003394432997</v>
      </c>
    </row>
    <row r="117" spans="1:8" ht="15.75" thickBot="1" x14ac:dyDescent="0.3">
      <c r="A117" s="139" t="s">
        <v>13</v>
      </c>
      <c r="B117" s="114">
        <v>2100</v>
      </c>
      <c r="C117" s="114">
        <v>17952</v>
      </c>
      <c r="D117" s="114">
        <v>13479</v>
      </c>
      <c r="E117" s="179"/>
      <c r="F117" s="127">
        <f t="shared" si="47"/>
        <v>11177</v>
      </c>
      <c r="G117" s="127">
        <f t="shared" si="48"/>
        <v>8172.8745860927047</v>
      </c>
      <c r="H117" s="127">
        <f t="shared" si="49"/>
        <v>8172.8745860927047</v>
      </c>
    </row>
    <row r="118" spans="1:8" ht="16.5" thickTop="1" thickBot="1" x14ac:dyDescent="0.3">
      <c r="A118" s="138" t="s">
        <v>0</v>
      </c>
      <c r="B118" s="137">
        <f t="shared" ref="B118:D118" si="50">SUM(B106:B117)</f>
        <v>396460</v>
      </c>
      <c r="C118" s="137">
        <f t="shared" si="50"/>
        <v>299349</v>
      </c>
      <c r="D118" s="137">
        <f t="shared" si="50"/>
        <v>335255</v>
      </c>
      <c r="E118" s="137">
        <f t="shared" ref="E118" si="51">SUM(E106:E117)</f>
        <v>323479</v>
      </c>
    </row>
    <row r="119" spans="1:8" ht="15.75" thickTop="1" x14ac:dyDescent="0.25">
      <c r="A119" s="1" t="s">
        <v>132</v>
      </c>
      <c r="B119" s="1"/>
      <c r="F119" s="127"/>
    </row>
    <row r="120" spans="1:8" x14ac:dyDescent="0.25">
      <c r="A120" s="130" t="s">
        <v>15</v>
      </c>
      <c r="B120" s="127">
        <f t="shared" ref="B120:G120" si="52">AVERAGE(B106:B108,B115:B117)</f>
        <v>12842.666666666666</v>
      </c>
      <c r="C120" s="127">
        <f t="shared" si="52"/>
        <v>7191.666666666667</v>
      </c>
      <c r="D120" s="127">
        <f t="shared" si="52"/>
        <v>14005.833333333334</v>
      </c>
      <c r="E120" s="127">
        <f t="shared" si="52"/>
        <v>11967.833333333332</v>
      </c>
      <c r="F120" s="127">
        <f t="shared" si="52"/>
        <v>11346.722222222221</v>
      </c>
      <c r="G120" s="127">
        <f t="shared" si="52"/>
        <v>7477.3046680858142</v>
      </c>
      <c r="H120" s="131"/>
    </row>
    <row r="121" spans="1:8" x14ac:dyDescent="0.25">
      <c r="A121" s="130" t="s">
        <v>16</v>
      </c>
      <c r="B121" s="127">
        <f t="shared" ref="B121:G121" si="53">AVERAGE(B109:B114)</f>
        <v>53234</v>
      </c>
      <c r="C121" s="127">
        <f t="shared" si="53"/>
        <v>42699.833333333336</v>
      </c>
      <c r="D121" s="127">
        <f t="shared" si="53"/>
        <v>41870</v>
      </c>
      <c r="E121" s="127">
        <f t="shared" si="53"/>
        <v>45934.611111111117</v>
      </c>
      <c r="F121" s="127">
        <f t="shared" si="53"/>
        <v>45934.611111111117</v>
      </c>
      <c r="G121" s="127">
        <f t="shared" si="53"/>
        <v>8529.9214673466231</v>
      </c>
    </row>
  </sheetData>
  <mergeCells count="1">
    <mergeCell ref="A119:B119"/>
  </mergeCells>
  <conditionalFormatting sqref="K22:O34">
    <cfRule type="cellIs" dxfId="56" priority="5" operator="lessThan">
      <formula>0</formula>
    </cfRule>
  </conditionalFormatting>
  <conditionalFormatting sqref="T3:X15">
    <cfRule type="cellIs" dxfId="55" priority="4" operator="greaterThan">
      <formula>1</formula>
    </cfRule>
  </conditionalFormatting>
  <conditionalFormatting sqref="K41:N53">
    <cfRule type="cellIs" dxfId="54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1"/>
  <sheetViews>
    <sheetView topLeftCell="BF1" workbookViewId="0">
      <selection activeCell="BU1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0</v>
      </c>
      <c r="D4" s="2">
        <v>0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/>
      <c r="L4" s="2"/>
      <c r="M4" s="2"/>
      <c r="N4" s="2"/>
      <c r="O4" s="2"/>
      <c r="P4" s="2"/>
      <c r="Q4" s="32"/>
      <c r="R4" s="34">
        <f>SUM(C4:Q4)</f>
        <v>1</v>
      </c>
      <c r="S4" s="82">
        <f>R4/R36</f>
        <v>0.22573363431151244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1896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1896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680.80000000000007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340.40000000000003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570.4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399.28</v>
      </c>
    </row>
    <row r="5" spans="1:73" x14ac:dyDescent="0.25">
      <c r="A5" t="s">
        <v>49</v>
      </c>
      <c r="B5" s="2" t="s">
        <v>37</v>
      </c>
      <c r="C5" s="2">
        <v>0</v>
      </c>
      <c r="D5" s="2">
        <v>0</v>
      </c>
      <c r="E5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/>
      <c r="L5" s="2"/>
      <c r="M5" s="2"/>
      <c r="N5" s="2"/>
      <c r="O5" s="2"/>
      <c r="P5" s="2"/>
      <c r="Q5" s="32"/>
      <c r="R5" s="34">
        <f t="shared" ref="R5:R16" si="0">SUM(C5:Q5)</f>
        <v>1</v>
      </c>
      <c r="S5" s="82">
        <f t="shared" ref="S5:S16" si="1">R5/R37</f>
        <v>0.25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1896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1896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680.80000000000007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340.40000000000003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570.4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399.28</v>
      </c>
    </row>
    <row r="6" spans="1:73" x14ac:dyDescent="0.25">
      <c r="A6" t="s">
        <v>50</v>
      </c>
      <c r="B6" s="2" t="s">
        <v>38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/>
      <c r="L6" s="2"/>
      <c r="M6" s="2"/>
      <c r="N6" s="2"/>
      <c r="O6" s="2"/>
      <c r="P6" s="2"/>
      <c r="Q6" s="32"/>
      <c r="R6" s="34">
        <f t="shared" si="0"/>
        <v>0</v>
      </c>
      <c r="S6" s="82">
        <f t="shared" si="1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>
        <v>3</v>
      </c>
      <c r="D7" s="2">
        <v>1</v>
      </c>
      <c r="E7" s="2">
        <v>0</v>
      </c>
      <c r="F7" s="2">
        <v>2</v>
      </c>
      <c r="G7" s="2">
        <v>1</v>
      </c>
      <c r="H7" s="2">
        <v>0</v>
      </c>
      <c r="I7" s="2">
        <v>1</v>
      </c>
      <c r="J7" s="2">
        <v>0</v>
      </c>
      <c r="K7" s="2"/>
      <c r="L7" s="2"/>
      <c r="M7" s="2"/>
      <c r="N7" s="2"/>
      <c r="O7" s="2"/>
      <c r="P7" s="2"/>
      <c r="Q7" s="32"/>
      <c r="R7" s="34">
        <f t="shared" si="0"/>
        <v>8</v>
      </c>
      <c r="S7" s="82">
        <f t="shared" si="1"/>
        <v>1.8691588785046729</v>
      </c>
      <c r="U7" s="2" t="s">
        <v>39</v>
      </c>
      <c r="V7" s="2">
        <f>C7*Navires!$B$2</f>
        <v>5865</v>
      </c>
      <c r="W7" s="2">
        <f>D7*Navires!$C$2</f>
        <v>1955</v>
      </c>
      <c r="X7" s="2">
        <f>E7*Navires!$D$2</f>
        <v>0</v>
      </c>
      <c r="Y7" s="2">
        <f>F7*Navires!$E$2</f>
        <v>3760</v>
      </c>
      <c r="Z7" s="2">
        <f>G7*Navires!$F$2</f>
        <v>1896</v>
      </c>
      <c r="AA7" s="2">
        <f>H7*Navires!$G$2</f>
        <v>0</v>
      </c>
      <c r="AB7" s="2">
        <f>I7*Navires!$H$2</f>
        <v>2000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15476</v>
      </c>
      <c r="AM7" s="118" t="s">
        <v>39</v>
      </c>
      <c r="AN7" s="118">
        <f>C7*Navires!$B$6</f>
        <v>1711.1999999999998</v>
      </c>
      <c r="AO7" s="118">
        <f>D7*Navires!$C$6</f>
        <v>570.4</v>
      </c>
      <c r="AP7" s="118">
        <f>E7*Navires!$D$6</f>
        <v>0</v>
      </c>
      <c r="AQ7" s="118">
        <f>F7*Navires!$E$6</f>
        <v>2456</v>
      </c>
      <c r="AR7" s="118">
        <f>G7*Navires!$F$6</f>
        <v>680.80000000000007</v>
      </c>
      <c r="AS7" s="118">
        <f>H7*Navires!$G$6</f>
        <v>0</v>
      </c>
      <c r="AT7" s="118">
        <f>I7*Navires!$H$6</f>
        <v>680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3049.2000000000003</v>
      </c>
      <c r="BE7" s="118" t="s">
        <v>39</v>
      </c>
      <c r="BF7" s="118">
        <f>C7*Navires!$B$6</f>
        <v>1711.1999999999998</v>
      </c>
      <c r="BG7" s="118">
        <f>D7*Navires!$B$6</f>
        <v>570.4</v>
      </c>
      <c r="BH7" s="118">
        <f>E7*Navires!$B$6</f>
        <v>0</v>
      </c>
      <c r="BI7" s="118">
        <f>F7*Navires!$B$6</f>
        <v>1140.8</v>
      </c>
      <c r="BJ7" s="118">
        <f>G7*Navires!$B$6</f>
        <v>570.4</v>
      </c>
      <c r="BK7" s="118">
        <f>H7*Navires!$B$6</f>
        <v>0</v>
      </c>
      <c r="BL7" s="118">
        <f>I7*Navires!$B$6</f>
        <v>570.4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7757.44</v>
      </c>
    </row>
    <row r="8" spans="1:73" x14ac:dyDescent="0.25">
      <c r="A8" t="s">
        <v>52</v>
      </c>
      <c r="B8" s="2" t="s">
        <v>40</v>
      </c>
      <c r="C8" s="2">
        <v>0</v>
      </c>
      <c r="D8" s="2">
        <v>3</v>
      </c>
      <c r="E8" s="2">
        <v>0</v>
      </c>
      <c r="F8" s="2">
        <v>7</v>
      </c>
      <c r="G8" s="2">
        <v>0</v>
      </c>
      <c r="H8" s="2">
        <v>0</v>
      </c>
      <c r="I8" s="2">
        <v>0</v>
      </c>
      <c r="J8" s="2">
        <v>0</v>
      </c>
      <c r="K8" s="2"/>
      <c r="L8" s="2"/>
      <c r="M8" s="2"/>
      <c r="N8" s="2"/>
      <c r="O8" s="2"/>
      <c r="P8" s="2"/>
      <c r="Q8" s="32"/>
      <c r="R8" s="34">
        <f t="shared" si="0"/>
        <v>10</v>
      </c>
      <c r="S8" s="82">
        <f t="shared" si="1"/>
        <v>2.2573363431151243</v>
      </c>
      <c r="U8" s="2" t="s">
        <v>40</v>
      </c>
      <c r="V8" s="2">
        <f>C8*Navires!$B$2</f>
        <v>0</v>
      </c>
      <c r="W8" s="2">
        <f>D8*Navires!$C$2</f>
        <v>5865</v>
      </c>
      <c r="X8" s="2">
        <f>E8*Navires!$D$2</f>
        <v>0</v>
      </c>
      <c r="Y8" s="2">
        <f>F8*Navires!$E$2</f>
        <v>13160</v>
      </c>
      <c r="Z8" s="2">
        <f>G8*Navires!$F$2</f>
        <v>0</v>
      </c>
      <c r="AA8" s="2">
        <f>H8*Navires!$G$2</f>
        <v>0</v>
      </c>
      <c r="AB8" s="2">
        <f>I8*Navires!$H$2</f>
        <v>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19025</v>
      </c>
      <c r="AM8" s="118" t="s">
        <v>40</v>
      </c>
      <c r="AN8" s="118">
        <f>C8*Navires!$B$6</f>
        <v>0</v>
      </c>
      <c r="AO8" s="118">
        <f>D8*Navires!$C$6</f>
        <v>1711.1999999999998</v>
      </c>
      <c r="AP8" s="118">
        <f>E8*Navires!$D$6</f>
        <v>0</v>
      </c>
      <c r="AQ8" s="118">
        <f>F8*Navires!$E$6</f>
        <v>8596</v>
      </c>
      <c r="AR8" s="118">
        <f>G8*Navires!$F$6</f>
        <v>0</v>
      </c>
      <c r="AS8" s="118">
        <f>H8*Navires!$G$6</f>
        <v>0</v>
      </c>
      <c r="AT8" s="118">
        <f>I8*Navires!$H$6</f>
        <v>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3092.1600000000003</v>
      </c>
      <c r="BE8" s="118" t="s">
        <v>40</v>
      </c>
      <c r="BF8" s="118">
        <f>C8*Navires!$B$6</f>
        <v>0</v>
      </c>
      <c r="BG8" s="118">
        <f>D8*Navires!$B$6</f>
        <v>1711.1999999999998</v>
      </c>
      <c r="BH8" s="118">
        <f>E8*Navires!$B$6</f>
        <v>0</v>
      </c>
      <c r="BI8" s="118">
        <f>F8*Navires!$B$6</f>
        <v>3992.7999999999997</v>
      </c>
      <c r="BJ8" s="118">
        <f>G8*Navires!$B$6</f>
        <v>0</v>
      </c>
      <c r="BK8" s="118">
        <f>H8*Navires!$B$6</f>
        <v>0</v>
      </c>
      <c r="BL8" s="118">
        <f>I8*Navires!$B$6</f>
        <v>0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9696.7999999999993</v>
      </c>
    </row>
    <row r="9" spans="1:73" x14ac:dyDescent="0.25">
      <c r="A9" t="s">
        <v>53</v>
      </c>
      <c r="B9" s="2" t="s">
        <v>41</v>
      </c>
      <c r="C9" s="2">
        <v>1</v>
      </c>
      <c r="D9" s="2">
        <v>1</v>
      </c>
      <c r="E9" s="2">
        <v>0</v>
      </c>
      <c r="F9" s="2">
        <v>4</v>
      </c>
      <c r="G9" s="2">
        <v>3</v>
      </c>
      <c r="H9" s="2">
        <v>1</v>
      </c>
      <c r="I9" s="2">
        <v>0</v>
      </c>
      <c r="J9" s="2">
        <v>1</v>
      </c>
      <c r="K9" s="2"/>
      <c r="L9" s="2"/>
      <c r="M9" s="2"/>
      <c r="N9" s="2"/>
      <c r="O9" s="2"/>
      <c r="P9" s="2"/>
      <c r="Q9" s="32"/>
      <c r="R9" s="34">
        <f t="shared" si="0"/>
        <v>11</v>
      </c>
      <c r="S9" s="82">
        <f t="shared" si="1"/>
        <v>2.570093457943925</v>
      </c>
      <c r="U9" s="2" t="s">
        <v>41</v>
      </c>
      <c r="V9" s="2">
        <f>C9*Navires!$B$2</f>
        <v>1955</v>
      </c>
      <c r="W9" s="2">
        <f>D9*Navires!$C$2</f>
        <v>1955</v>
      </c>
      <c r="X9" s="2">
        <f>E9*Navires!$D$2</f>
        <v>0</v>
      </c>
      <c r="Y9" s="2">
        <f>F9*Navires!$E$2</f>
        <v>7520</v>
      </c>
      <c r="Z9" s="2">
        <f>G9*Navires!$F$2</f>
        <v>5688</v>
      </c>
      <c r="AA9" s="2">
        <f>H9*Navires!$G$2</f>
        <v>2000</v>
      </c>
      <c r="AB9" s="2">
        <f>I9*Navires!$H$2</f>
        <v>0</v>
      </c>
      <c r="AC9" s="2">
        <f>J9*Navires!$I$2</f>
        <v>2000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21118</v>
      </c>
      <c r="AM9" s="118" t="s">
        <v>41</v>
      </c>
      <c r="AN9" s="118">
        <f>C9*Navires!$B$6</f>
        <v>570.4</v>
      </c>
      <c r="AO9" s="118">
        <f>D9*Navires!$C$6</f>
        <v>570.4</v>
      </c>
      <c r="AP9" s="118">
        <f>E9*Navires!$D$6</f>
        <v>0</v>
      </c>
      <c r="AQ9" s="118">
        <f>F9*Navires!$E$6</f>
        <v>4912</v>
      </c>
      <c r="AR9" s="118">
        <f>G9*Navires!$F$6</f>
        <v>2042.4</v>
      </c>
      <c r="AS9" s="118">
        <f>H9*Navires!$G$6</f>
        <v>680</v>
      </c>
      <c r="AT9" s="118">
        <f>I9*Navires!$H$6</f>
        <v>0</v>
      </c>
      <c r="AU9" s="118">
        <f>J9*Navires!$I$6</f>
        <v>1560.8000000000002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3100.7999999999997</v>
      </c>
      <c r="BE9" s="118" t="s">
        <v>41</v>
      </c>
      <c r="BF9" s="118">
        <f>C9*Navires!$B$6</f>
        <v>570.4</v>
      </c>
      <c r="BG9" s="118">
        <f>D9*Navires!$B$6</f>
        <v>570.4</v>
      </c>
      <c r="BH9" s="118">
        <f>E9*Navires!$B$6</f>
        <v>0</v>
      </c>
      <c r="BI9" s="118">
        <f>F9*Navires!$B$6</f>
        <v>2281.6</v>
      </c>
      <c r="BJ9" s="118">
        <f>G9*Navires!$B$6</f>
        <v>1711.1999999999998</v>
      </c>
      <c r="BK9" s="118">
        <f>H9*Navires!$B$6</f>
        <v>570.4</v>
      </c>
      <c r="BL9" s="118">
        <f>I9*Navires!$B$6</f>
        <v>0</v>
      </c>
      <c r="BM9" s="118">
        <f>J9*Navires!$B$6</f>
        <v>570.4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10666.479999999998</v>
      </c>
    </row>
    <row r="10" spans="1:73" x14ac:dyDescent="0.25">
      <c r="A10" t="s">
        <v>54</v>
      </c>
      <c r="B10" s="2" t="s">
        <v>42</v>
      </c>
      <c r="C10" s="2">
        <v>3</v>
      </c>
      <c r="D10" s="2">
        <v>3</v>
      </c>
      <c r="E10" s="2">
        <v>0</v>
      </c>
      <c r="F10" s="2">
        <v>6</v>
      </c>
      <c r="G10" s="2">
        <v>7</v>
      </c>
      <c r="H10" s="2">
        <v>2</v>
      </c>
      <c r="I10" s="2">
        <v>3</v>
      </c>
      <c r="J10" s="2">
        <v>0</v>
      </c>
      <c r="K10" s="2"/>
      <c r="L10" s="2"/>
      <c r="M10" s="2"/>
      <c r="N10" s="2"/>
      <c r="O10" s="2"/>
      <c r="P10" s="2"/>
      <c r="Q10" s="32"/>
      <c r="R10" s="34">
        <f t="shared" si="0"/>
        <v>24</v>
      </c>
      <c r="S10" s="82">
        <f t="shared" si="1"/>
        <v>5.4176072234762982</v>
      </c>
      <c r="U10" s="2" t="s">
        <v>42</v>
      </c>
      <c r="V10" s="2">
        <f>C10*Navires!$B$2</f>
        <v>5865</v>
      </c>
      <c r="W10" s="2">
        <f>D10*Navires!$C$2</f>
        <v>5865</v>
      </c>
      <c r="X10" s="2">
        <f>E10*Navires!$D$2</f>
        <v>0</v>
      </c>
      <c r="Y10" s="2">
        <f>F10*Navires!$E$2</f>
        <v>11280</v>
      </c>
      <c r="Z10" s="2">
        <f>G10*Navires!$F$2</f>
        <v>13272</v>
      </c>
      <c r="AA10" s="2">
        <f>H10*Navires!$G$2</f>
        <v>4000</v>
      </c>
      <c r="AB10" s="2">
        <f>I10*Navires!$H$2</f>
        <v>6000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46282</v>
      </c>
      <c r="AM10" s="118" t="s">
        <v>42</v>
      </c>
      <c r="AN10" s="118">
        <f>C10*Navires!$B$6</f>
        <v>1711.1999999999998</v>
      </c>
      <c r="AO10" s="118">
        <f>D10*Navires!$C$6</f>
        <v>1711.1999999999998</v>
      </c>
      <c r="AP10" s="118">
        <f>E10*Navires!$D$6</f>
        <v>0</v>
      </c>
      <c r="AQ10" s="118">
        <f>F10*Navires!$E$6</f>
        <v>7368</v>
      </c>
      <c r="AR10" s="118">
        <f>G10*Navires!$F$6</f>
        <v>4765.6000000000004</v>
      </c>
      <c r="AS10" s="118">
        <f>H10*Navires!$G$6</f>
        <v>1360</v>
      </c>
      <c r="AT10" s="118">
        <f>I10*Navires!$H$6</f>
        <v>2040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5686.8</v>
      </c>
      <c r="BE10" s="118" t="s">
        <v>42</v>
      </c>
      <c r="BF10" s="118">
        <f>C10*Navires!$B$6</f>
        <v>1711.1999999999998</v>
      </c>
      <c r="BG10" s="118">
        <f>D10*Navires!$B$6</f>
        <v>1711.1999999999998</v>
      </c>
      <c r="BH10" s="118">
        <f>E10*Navires!$B$6</f>
        <v>0</v>
      </c>
      <c r="BI10" s="118">
        <f>F10*Navires!$B$6</f>
        <v>3422.3999999999996</v>
      </c>
      <c r="BJ10" s="118">
        <f>G10*Navires!$B$6</f>
        <v>3992.7999999999997</v>
      </c>
      <c r="BK10" s="118">
        <f>H10*Navires!$B$6</f>
        <v>1140.8</v>
      </c>
      <c r="BL10" s="118">
        <f>I10*Navires!$B$6</f>
        <v>1711.1999999999998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23272.319999999996</v>
      </c>
    </row>
    <row r="11" spans="1:73" x14ac:dyDescent="0.25">
      <c r="A11" t="s">
        <v>55</v>
      </c>
      <c r="B11" s="2" t="s">
        <v>43</v>
      </c>
      <c r="C11" s="2">
        <v>6</v>
      </c>
      <c r="D11" s="2">
        <v>1</v>
      </c>
      <c r="E11" s="2">
        <v>0</v>
      </c>
      <c r="F11" s="2">
        <v>3</v>
      </c>
      <c r="G11" s="2">
        <v>6</v>
      </c>
      <c r="H11" s="2">
        <v>3</v>
      </c>
      <c r="I11" s="2">
        <v>2</v>
      </c>
      <c r="J11" s="2">
        <v>3</v>
      </c>
      <c r="K11" s="2"/>
      <c r="L11" s="2"/>
      <c r="M11" s="2"/>
      <c r="N11" s="2"/>
      <c r="O11" s="2"/>
      <c r="P11" s="2"/>
      <c r="Q11" s="32"/>
      <c r="R11" s="34">
        <f t="shared" si="0"/>
        <v>24</v>
      </c>
      <c r="S11" s="82">
        <f t="shared" si="1"/>
        <v>5.4176072234762982</v>
      </c>
      <c r="U11" s="2" t="s">
        <v>43</v>
      </c>
      <c r="V11" s="2">
        <f>C11*Navires!$B$2</f>
        <v>11730</v>
      </c>
      <c r="W11" s="2">
        <f>D11*Navires!$C$2</f>
        <v>1955</v>
      </c>
      <c r="X11" s="2">
        <f>E11*Navires!$D$2</f>
        <v>0</v>
      </c>
      <c r="Y11" s="2">
        <f>F11*Navires!$E$2</f>
        <v>5640</v>
      </c>
      <c r="Z11" s="2">
        <f>G11*Navires!$F$2</f>
        <v>11376</v>
      </c>
      <c r="AA11" s="2">
        <f>H11*Navires!$G$2</f>
        <v>6000</v>
      </c>
      <c r="AB11" s="2">
        <f>I11*Navires!$H$2</f>
        <v>4000</v>
      </c>
      <c r="AC11" s="2">
        <f>J11*Navires!$I$2</f>
        <v>6000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46701</v>
      </c>
      <c r="AM11" s="118" t="s">
        <v>43</v>
      </c>
      <c r="AN11" s="118">
        <f>C11*Navires!$B$6</f>
        <v>3422.3999999999996</v>
      </c>
      <c r="AO11" s="118">
        <f>D11*Navires!$C$6</f>
        <v>570.4</v>
      </c>
      <c r="AP11" s="118">
        <f>E11*Navires!$D$6</f>
        <v>0</v>
      </c>
      <c r="AQ11" s="118">
        <f>F11*Navires!$E$6</f>
        <v>3684</v>
      </c>
      <c r="AR11" s="118">
        <f>G11*Navires!$F$6</f>
        <v>4084.8</v>
      </c>
      <c r="AS11" s="118">
        <f>H11*Navires!$G$6</f>
        <v>2040</v>
      </c>
      <c r="AT11" s="118">
        <f>I11*Navires!$H$6</f>
        <v>1360</v>
      </c>
      <c r="AU11" s="118">
        <f>J11*Navires!$I$6</f>
        <v>4682.4000000000005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5953.2</v>
      </c>
      <c r="BE11" s="118" t="s">
        <v>43</v>
      </c>
      <c r="BF11" s="118">
        <f>C11*Navires!$B$6</f>
        <v>3422.3999999999996</v>
      </c>
      <c r="BG11" s="118">
        <f>D11*Navires!$B$6</f>
        <v>570.4</v>
      </c>
      <c r="BH11" s="118">
        <f>E11*Navires!$B$6</f>
        <v>0</v>
      </c>
      <c r="BI11" s="118">
        <f>F11*Navires!$B$6</f>
        <v>1711.1999999999998</v>
      </c>
      <c r="BJ11" s="118">
        <f>G11*Navires!$B$6</f>
        <v>3422.3999999999996</v>
      </c>
      <c r="BK11" s="118">
        <f>H11*Navires!$B$6</f>
        <v>1711.1999999999998</v>
      </c>
      <c r="BL11" s="118">
        <f>I11*Navires!$B$6</f>
        <v>1140.8</v>
      </c>
      <c r="BM11" s="118">
        <f>J11*Navires!$B$6</f>
        <v>1711.1999999999998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23272.319999999996</v>
      </c>
    </row>
    <row r="12" spans="1:73" x14ac:dyDescent="0.25">
      <c r="A12" t="s">
        <v>56</v>
      </c>
      <c r="B12" s="2" t="s">
        <v>44</v>
      </c>
      <c r="C12" s="2">
        <v>3</v>
      </c>
      <c r="D12" s="2">
        <v>1</v>
      </c>
      <c r="E12" s="2">
        <v>0</v>
      </c>
      <c r="F12" s="2">
        <v>0</v>
      </c>
      <c r="G12" s="2">
        <v>5</v>
      </c>
      <c r="H12" s="2">
        <v>1</v>
      </c>
      <c r="I12" s="2">
        <v>1</v>
      </c>
      <c r="J12" s="2">
        <v>2</v>
      </c>
      <c r="K12" s="2"/>
      <c r="L12" s="2"/>
      <c r="M12" s="2"/>
      <c r="N12" s="2"/>
      <c r="O12" s="2"/>
      <c r="P12" s="2"/>
      <c r="Q12" s="32"/>
      <c r="R12" s="34">
        <f t="shared" si="0"/>
        <v>13</v>
      </c>
      <c r="S12" s="82">
        <f t="shared" si="1"/>
        <v>3.0373831775700935</v>
      </c>
      <c r="U12" s="2" t="s">
        <v>44</v>
      </c>
      <c r="V12" s="2">
        <f>C12*Navires!$B$2</f>
        <v>5865</v>
      </c>
      <c r="W12" s="2">
        <f>D12*Navires!$C$2</f>
        <v>1955</v>
      </c>
      <c r="X12" s="2">
        <f>E12*Navires!$D$2</f>
        <v>0</v>
      </c>
      <c r="Y12" s="2">
        <f>F12*Navires!$E$2</f>
        <v>0</v>
      </c>
      <c r="Z12" s="2">
        <f>G12*Navires!$F$2</f>
        <v>9480</v>
      </c>
      <c r="AA12" s="2">
        <f>H12*Navires!$G$2</f>
        <v>2000</v>
      </c>
      <c r="AB12" s="2">
        <f>I12*Navires!$H$2</f>
        <v>2000</v>
      </c>
      <c r="AC12" s="2">
        <f>J12*Navires!$I$2</f>
        <v>4000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25300</v>
      </c>
      <c r="AM12" s="118" t="s">
        <v>44</v>
      </c>
      <c r="AN12" s="118">
        <f>C12*Navires!$B$6</f>
        <v>1711.1999999999998</v>
      </c>
      <c r="AO12" s="118">
        <f>D12*Navires!$C$6</f>
        <v>570.4</v>
      </c>
      <c r="AP12" s="118">
        <f>E12*Navires!$D$6</f>
        <v>0</v>
      </c>
      <c r="AQ12" s="118">
        <f>F12*Navires!$E$6</f>
        <v>0</v>
      </c>
      <c r="AR12" s="118">
        <f>G12*Navires!$F$6</f>
        <v>3404.0000000000005</v>
      </c>
      <c r="AS12" s="118">
        <f>H12*Navires!$G$6</f>
        <v>680</v>
      </c>
      <c r="AT12" s="118">
        <f>I12*Navires!$H$6</f>
        <v>680</v>
      </c>
      <c r="AU12" s="118">
        <f>J12*Navires!$I$6</f>
        <v>3121.6000000000004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3050.1600000000003</v>
      </c>
      <c r="BE12" s="118" t="s">
        <v>44</v>
      </c>
      <c r="BF12" s="118">
        <f>C12*Navires!$B$6</f>
        <v>1711.1999999999998</v>
      </c>
      <c r="BG12" s="118">
        <f>D12*Navires!$B$6</f>
        <v>570.4</v>
      </c>
      <c r="BH12" s="118">
        <f>E12*Navires!$B$6</f>
        <v>0</v>
      </c>
      <c r="BI12" s="118">
        <f>F12*Navires!$B$6</f>
        <v>0</v>
      </c>
      <c r="BJ12" s="118">
        <f>G12*Navires!$B$6</f>
        <v>2852</v>
      </c>
      <c r="BK12" s="118">
        <f>H12*Navires!$B$6</f>
        <v>570.4</v>
      </c>
      <c r="BL12" s="118">
        <f>I12*Navires!$B$6</f>
        <v>570.4</v>
      </c>
      <c r="BM12" s="118">
        <f>J12*Navires!$B$6</f>
        <v>1140.8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12605.84</v>
      </c>
    </row>
    <row r="13" spans="1:73" x14ac:dyDescent="0.25">
      <c r="A13" t="s">
        <v>57</v>
      </c>
      <c r="B13" s="2" t="s">
        <v>45</v>
      </c>
      <c r="C13" s="2">
        <v>2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2</v>
      </c>
      <c r="K13" s="2"/>
      <c r="L13" s="2"/>
      <c r="M13" s="2"/>
      <c r="N13" s="2"/>
      <c r="O13" s="2"/>
      <c r="P13" s="2"/>
      <c r="Q13" s="32"/>
      <c r="R13" s="34">
        <f t="shared" si="0"/>
        <v>4</v>
      </c>
      <c r="S13" s="82">
        <f t="shared" si="1"/>
        <v>0.90293453724604977</v>
      </c>
      <c r="U13" s="2" t="s">
        <v>45</v>
      </c>
      <c r="V13" s="2">
        <f>C13*Navires!$B$2</f>
        <v>3910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0</v>
      </c>
      <c r="AA13" s="2">
        <f>H13*Navires!$G$2</f>
        <v>0</v>
      </c>
      <c r="AB13" s="2">
        <f>I13*Navires!$H$2</f>
        <v>0</v>
      </c>
      <c r="AC13" s="2">
        <f>J13*Navires!$I$2</f>
        <v>4000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7910</v>
      </c>
      <c r="AM13" s="118" t="s">
        <v>45</v>
      </c>
      <c r="AN13" s="118">
        <f>C13*Navires!$B$6</f>
        <v>1140.8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0</v>
      </c>
      <c r="AS13" s="118">
        <f>H13*Navires!$G$6</f>
        <v>0</v>
      </c>
      <c r="AT13" s="118">
        <f>I13*Navires!$H$6</f>
        <v>0</v>
      </c>
      <c r="AU13" s="118">
        <f>J13*Navires!$I$6</f>
        <v>3121.6000000000004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2131.2000000000003</v>
      </c>
      <c r="BE13" s="118" t="s">
        <v>45</v>
      </c>
      <c r="BF13" s="118">
        <f>C13*Navires!$B$6</f>
        <v>1140.8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0</v>
      </c>
      <c r="BK13" s="118">
        <f>H13*Navires!$B$6</f>
        <v>0</v>
      </c>
      <c r="BL13" s="118">
        <f>I13*Navires!$B$6</f>
        <v>0</v>
      </c>
      <c r="BM13" s="118">
        <f>J13*Navires!$B$6</f>
        <v>1140.8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3878.72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  <c r="L14" s="2"/>
      <c r="M14" s="2"/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/>
      <c r="L15" s="2"/>
      <c r="M15" s="2"/>
      <c r="N15" s="2"/>
      <c r="O15" s="2"/>
      <c r="P15" s="2"/>
      <c r="Q15" s="32"/>
      <c r="R15" s="34">
        <f t="shared" si="0"/>
        <v>0</v>
      </c>
      <c r="S15" s="82">
        <f t="shared" si="1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18</v>
      </c>
      <c r="D16" s="30">
        <f t="shared" ref="D16:Q16" si="2">SUM(D4:D15)</f>
        <v>10</v>
      </c>
      <c r="E16" s="30">
        <f t="shared" si="2"/>
        <v>0</v>
      </c>
      <c r="F16" s="30">
        <f t="shared" si="2"/>
        <v>22</v>
      </c>
      <c r="G16" s="30">
        <f t="shared" si="2"/>
        <v>24</v>
      </c>
      <c r="H16" s="30">
        <f t="shared" si="2"/>
        <v>7</v>
      </c>
      <c r="I16" s="30">
        <f t="shared" si="2"/>
        <v>7</v>
      </c>
      <c r="J16" s="30">
        <f t="shared" si="2"/>
        <v>8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96</v>
      </c>
      <c r="S16" s="82">
        <f t="shared" si="1"/>
        <v>1.8415499712257817</v>
      </c>
      <c r="U16" s="29" t="s">
        <v>60</v>
      </c>
      <c r="V16" s="30">
        <f>SUM(V4:V15)</f>
        <v>35190</v>
      </c>
      <c r="W16" s="30">
        <f t="shared" ref="W16:AJ16" si="3">SUM(W4:W15)</f>
        <v>19550</v>
      </c>
      <c r="X16" s="30">
        <f t="shared" si="3"/>
        <v>0</v>
      </c>
      <c r="Y16" s="30">
        <f t="shared" si="3"/>
        <v>41360</v>
      </c>
      <c r="Z16" s="30">
        <f t="shared" si="3"/>
        <v>45504</v>
      </c>
      <c r="AA16" s="30">
        <f t="shared" si="3"/>
        <v>14000</v>
      </c>
      <c r="AB16" s="30">
        <f t="shared" si="3"/>
        <v>14000</v>
      </c>
      <c r="AC16" s="30">
        <f t="shared" si="3"/>
        <v>16000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10267.199999999997</v>
      </c>
      <c r="AO16" s="30">
        <f t="shared" ref="AO16:BB16" si="4">SUM(AO4:AO15)</f>
        <v>5703.9999999999991</v>
      </c>
      <c r="AP16" s="30">
        <f t="shared" si="4"/>
        <v>0</v>
      </c>
      <c r="AQ16" s="30">
        <f t="shared" si="4"/>
        <v>27016</v>
      </c>
      <c r="AR16" s="30">
        <f t="shared" si="4"/>
        <v>16339.2</v>
      </c>
      <c r="AS16" s="30">
        <f t="shared" si="4"/>
        <v>4760</v>
      </c>
      <c r="AT16" s="30">
        <f t="shared" si="4"/>
        <v>4760</v>
      </c>
      <c r="AU16" s="30">
        <f t="shared" si="4"/>
        <v>12486.400000000001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10267.199999999997</v>
      </c>
      <c r="BG16" s="30">
        <f t="shared" ref="BG16:BT16" si="5">SUM(BG4:BG15)</f>
        <v>5703.9999999999991</v>
      </c>
      <c r="BH16" s="30">
        <f t="shared" si="5"/>
        <v>0</v>
      </c>
      <c r="BI16" s="30">
        <f t="shared" si="5"/>
        <v>12548.8</v>
      </c>
      <c r="BJ16" s="30">
        <f t="shared" si="5"/>
        <v>13689.599999999999</v>
      </c>
      <c r="BK16" s="30">
        <f t="shared" si="5"/>
        <v>3992.7999999999997</v>
      </c>
      <c r="BL16" s="30">
        <f t="shared" si="5"/>
        <v>3992.7999999999997</v>
      </c>
      <c r="BM16" s="30">
        <f t="shared" si="5"/>
        <v>4563.2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66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/>
      <c r="L21" s="2"/>
      <c r="M21" s="2"/>
      <c r="N21" s="2"/>
      <c r="O21" s="2"/>
      <c r="P21" s="2"/>
      <c r="Q21" s="32"/>
      <c r="R21" s="34">
        <f>SUM(C21:Q21)</f>
        <v>0</v>
      </c>
      <c r="S21" s="82">
        <f>R21/R36</f>
        <v>0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0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0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0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0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0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0</v>
      </c>
    </row>
    <row r="22" spans="1:73" x14ac:dyDescent="0.25">
      <c r="A22" t="s">
        <v>49</v>
      </c>
      <c r="B22" s="2" t="s">
        <v>37</v>
      </c>
      <c r="C22" s="2">
        <v>0</v>
      </c>
      <c r="D22" s="2">
        <v>0</v>
      </c>
      <c r="E22">
        <v>0</v>
      </c>
      <c r="F22" s="2">
        <v>0</v>
      </c>
      <c r="G22" s="2">
        <v>1</v>
      </c>
      <c r="H22" s="2">
        <v>0</v>
      </c>
      <c r="I22" s="2">
        <v>1</v>
      </c>
      <c r="J22" s="2">
        <v>0</v>
      </c>
      <c r="K22" s="2"/>
      <c r="L22" s="2"/>
      <c r="M22" s="2"/>
      <c r="N22" s="2"/>
      <c r="O22" s="2"/>
      <c r="P22" s="2"/>
      <c r="Q22" s="32"/>
      <c r="R22" s="34">
        <f t="shared" ref="R22:R33" si="6">SUM(C22:Q22)</f>
        <v>2</v>
      </c>
      <c r="S22" s="82">
        <f t="shared" ref="S22:S33" si="7">R22/R37</f>
        <v>0.5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1896</v>
      </c>
      <c r="AA22" s="2">
        <f>H22*Navires!$G$2</f>
        <v>0</v>
      </c>
      <c r="AB22" s="2">
        <f>I22*Navires!$H$2</f>
        <v>2000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3896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680.80000000000007</v>
      </c>
      <c r="AS22" s="118">
        <f>H22*Navires!$G$6</f>
        <v>0</v>
      </c>
      <c r="AT22" s="118">
        <f>I22*Navires!$H$6</f>
        <v>680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680.40000000000009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570.4</v>
      </c>
      <c r="BK22" s="118">
        <f>H22*Navires!$B$6</f>
        <v>0</v>
      </c>
      <c r="BL22" s="118">
        <f>I22*Navires!$B$6</f>
        <v>570.4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798.56</v>
      </c>
    </row>
    <row r="23" spans="1:73" x14ac:dyDescent="0.25">
      <c r="A23" t="s">
        <v>50</v>
      </c>
      <c r="B23" s="2" t="s">
        <v>38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/>
      <c r="L23" s="2"/>
      <c r="M23" s="2"/>
      <c r="N23" s="2"/>
      <c r="O23" s="2"/>
      <c r="P23" s="2"/>
      <c r="Q23" s="32"/>
      <c r="R23" s="34">
        <f t="shared" si="6"/>
        <v>0</v>
      </c>
      <c r="S23" s="82">
        <f t="shared" si="7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>
        <v>3</v>
      </c>
      <c r="D24" s="2">
        <v>1</v>
      </c>
      <c r="E24" s="2">
        <v>0</v>
      </c>
      <c r="F24" s="2">
        <v>2</v>
      </c>
      <c r="G24" s="2">
        <v>1</v>
      </c>
      <c r="H24" s="2">
        <v>1</v>
      </c>
      <c r="I24" s="2">
        <v>0</v>
      </c>
      <c r="J24" s="2">
        <v>0</v>
      </c>
      <c r="K24" s="2"/>
      <c r="L24" s="2"/>
      <c r="M24" s="2"/>
      <c r="N24" s="2"/>
      <c r="O24" s="2"/>
      <c r="P24" s="2"/>
      <c r="Q24" s="32"/>
      <c r="R24" s="34">
        <f t="shared" si="6"/>
        <v>8</v>
      </c>
      <c r="S24" s="82">
        <f t="shared" si="7"/>
        <v>1.8691588785046729</v>
      </c>
      <c r="U24" s="2" t="s">
        <v>39</v>
      </c>
      <c r="V24" s="2">
        <f>C24*Navires!$B$2</f>
        <v>5865</v>
      </c>
      <c r="W24" s="2">
        <f>D24*Navires!$C$2</f>
        <v>1955</v>
      </c>
      <c r="X24" s="2">
        <f>E24*Navires!$D$2</f>
        <v>0</v>
      </c>
      <c r="Y24" s="2">
        <f>F24*Navires!$E$2</f>
        <v>3760</v>
      </c>
      <c r="Z24" s="2">
        <f>G24*Navires!$F$2</f>
        <v>1896</v>
      </c>
      <c r="AA24" s="2">
        <f>H24*Navires!$G$2</f>
        <v>2000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15476</v>
      </c>
      <c r="AM24" s="118" t="s">
        <v>39</v>
      </c>
      <c r="AN24" s="118">
        <f>C24*Navires!$B$6</f>
        <v>1711.1999999999998</v>
      </c>
      <c r="AO24" s="118">
        <f>D24*Navires!$C$6</f>
        <v>570.4</v>
      </c>
      <c r="AP24" s="118">
        <f>E24*Navires!$D$6</f>
        <v>0</v>
      </c>
      <c r="AQ24" s="118">
        <f>F24*Navires!$E$6</f>
        <v>2456</v>
      </c>
      <c r="AR24" s="118">
        <f>G24*Navires!$F$6</f>
        <v>680.80000000000007</v>
      </c>
      <c r="AS24" s="118">
        <f>H24*Navires!$G$6</f>
        <v>680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3049.2000000000003</v>
      </c>
      <c r="BE24" s="118" t="s">
        <v>39</v>
      </c>
      <c r="BF24" s="118">
        <f>C24*Navires!$B$6</f>
        <v>1711.1999999999998</v>
      </c>
      <c r="BG24" s="118">
        <f>D24*Navires!$B$6</f>
        <v>570.4</v>
      </c>
      <c r="BH24" s="118">
        <f>E24*Navires!$B$6</f>
        <v>0</v>
      </c>
      <c r="BI24" s="118">
        <f>F24*Navires!$B$6</f>
        <v>1140.8</v>
      </c>
      <c r="BJ24" s="118">
        <f>G24*Navires!$B$6</f>
        <v>570.4</v>
      </c>
      <c r="BK24" s="118">
        <f>H24*Navires!$B$6</f>
        <v>570.4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7757.44</v>
      </c>
    </row>
    <row r="25" spans="1:73" x14ac:dyDescent="0.25">
      <c r="A25" t="s">
        <v>52</v>
      </c>
      <c r="B25" s="2" t="s">
        <v>40</v>
      </c>
      <c r="C25" s="2">
        <v>0</v>
      </c>
      <c r="D25" s="2">
        <v>3</v>
      </c>
      <c r="E25" s="2">
        <v>0</v>
      </c>
      <c r="F25" s="2">
        <v>8</v>
      </c>
      <c r="G25" s="2">
        <v>0</v>
      </c>
      <c r="H25" s="2">
        <v>0</v>
      </c>
      <c r="I25" s="2">
        <v>0</v>
      </c>
      <c r="J25" s="2">
        <v>0</v>
      </c>
      <c r="K25" s="2"/>
      <c r="L25" s="2"/>
      <c r="M25" s="2"/>
      <c r="N25" s="2"/>
      <c r="O25" s="2"/>
      <c r="P25" s="2"/>
      <c r="Q25" s="32"/>
      <c r="R25" s="34">
        <f t="shared" si="6"/>
        <v>11</v>
      </c>
      <c r="S25" s="82">
        <f t="shared" si="7"/>
        <v>2.4830699774266369</v>
      </c>
      <c r="U25" s="2" t="s">
        <v>40</v>
      </c>
      <c r="V25" s="2">
        <f>C25*Navires!$B$2</f>
        <v>0</v>
      </c>
      <c r="W25" s="2">
        <f>D25*Navires!$C$2</f>
        <v>5865</v>
      </c>
      <c r="X25" s="2">
        <f>E25*Navires!$D$2</f>
        <v>0</v>
      </c>
      <c r="Y25" s="2">
        <f>F25*Navires!$E$2</f>
        <v>15040</v>
      </c>
      <c r="Z25" s="2">
        <f>G25*Navires!$F$2</f>
        <v>0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20905</v>
      </c>
      <c r="AM25" s="118" t="s">
        <v>40</v>
      </c>
      <c r="AN25" s="118">
        <f>C25*Navires!$B$6</f>
        <v>0</v>
      </c>
      <c r="AO25" s="118">
        <f>D25*Navires!$C$6</f>
        <v>1711.1999999999998</v>
      </c>
      <c r="AP25" s="118">
        <f>E25*Navires!$D$6</f>
        <v>0</v>
      </c>
      <c r="AQ25" s="118">
        <f>F25*Navires!$E$6</f>
        <v>9824</v>
      </c>
      <c r="AR25" s="118">
        <f>G25*Navires!$F$6</f>
        <v>0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3460.56</v>
      </c>
      <c r="BE25" s="118" t="s">
        <v>40</v>
      </c>
      <c r="BF25" s="118">
        <f>C25*Navires!$B$6</f>
        <v>0</v>
      </c>
      <c r="BG25" s="118">
        <f>D25*Navires!$B$6</f>
        <v>1711.1999999999998</v>
      </c>
      <c r="BH25" s="118">
        <f>E25*Navires!$B$6</f>
        <v>0</v>
      </c>
      <c r="BI25" s="118">
        <f>F25*Navires!$B$6</f>
        <v>4563.2</v>
      </c>
      <c r="BJ25" s="118">
        <f>G25*Navires!$B$6</f>
        <v>0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10666.48</v>
      </c>
    </row>
    <row r="26" spans="1:73" x14ac:dyDescent="0.25">
      <c r="A26" t="s">
        <v>53</v>
      </c>
      <c r="B26" s="2" t="s">
        <v>41</v>
      </c>
      <c r="C26" s="2">
        <v>0</v>
      </c>
      <c r="D26" s="2">
        <v>1</v>
      </c>
      <c r="E26" s="2">
        <v>0</v>
      </c>
      <c r="F26" s="2">
        <v>5</v>
      </c>
      <c r="G26" s="2">
        <v>4</v>
      </c>
      <c r="H26" s="2">
        <v>0</v>
      </c>
      <c r="I26" s="2">
        <v>0</v>
      </c>
      <c r="J26" s="2">
        <v>1</v>
      </c>
      <c r="K26" s="2"/>
      <c r="L26" s="2"/>
      <c r="M26" s="2"/>
      <c r="N26" s="2"/>
      <c r="O26" s="2"/>
      <c r="P26" s="2"/>
      <c r="Q26" s="32"/>
      <c r="R26" s="34">
        <f t="shared" si="6"/>
        <v>11</v>
      </c>
      <c r="S26" s="82">
        <f t="shared" si="7"/>
        <v>2.570093457943925</v>
      </c>
      <c r="U26" s="2" t="s">
        <v>41</v>
      </c>
      <c r="V26" s="2">
        <f>C26*Navires!$B$2</f>
        <v>0</v>
      </c>
      <c r="W26" s="2">
        <f>D26*Navires!$C$2</f>
        <v>1955</v>
      </c>
      <c r="X26" s="2">
        <f>E26*Navires!$D$2</f>
        <v>0</v>
      </c>
      <c r="Y26" s="2">
        <f>F26*Navires!$E$2</f>
        <v>9400</v>
      </c>
      <c r="Z26" s="2">
        <f>G26*Navires!$F$2</f>
        <v>7584</v>
      </c>
      <c r="AA26" s="2">
        <f>H26*Navires!$G$2</f>
        <v>0</v>
      </c>
      <c r="AB26" s="2">
        <f>I26*Navires!$H$2</f>
        <v>0</v>
      </c>
      <c r="AC26" s="2">
        <f>J26*Navires!$I$2</f>
        <v>2000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20939</v>
      </c>
      <c r="AM26" s="118" t="s">
        <v>41</v>
      </c>
      <c r="AN26" s="118">
        <f>C26*Navires!$B$6</f>
        <v>0</v>
      </c>
      <c r="AO26" s="118">
        <f>D26*Navires!$C$6</f>
        <v>570.4</v>
      </c>
      <c r="AP26" s="118">
        <f>E26*Navires!$D$6</f>
        <v>0</v>
      </c>
      <c r="AQ26" s="118">
        <f>F26*Navires!$E$6</f>
        <v>6140</v>
      </c>
      <c r="AR26" s="118">
        <f>G26*Navires!$F$6</f>
        <v>2723.2000000000003</v>
      </c>
      <c r="AS26" s="118">
        <f>H26*Navires!$G$6</f>
        <v>0</v>
      </c>
      <c r="AT26" s="118">
        <f>I26*Navires!$H$6</f>
        <v>0</v>
      </c>
      <c r="AU26" s="118">
        <f>J26*Navires!$I$6</f>
        <v>1560.8000000000002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3298.32</v>
      </c>
      <c r="BE26" s="118" t="s">
        <v>41</v>
      </c>
      <c r="BF26" s="118">
        <f>C26*Navires!$B$6</f>
        <v>0</v>
      </c>
      <c r="BG26" s="118">
        <f>D26*Navires!$B$6</f>
        <v>570.4</v>
      </c>
      <c r="BH26" s="118">
        <f>E26*Navires!$B$6</f>
        <v>0</v>
      </c>
      <c r="BI26" s="118">
        <f>F26*Navires!$B$6</f>
        <v>2852</v>
      </c>
      <c r="BJ26" s="118">
        <f>G26*Navires!$B$6</f>
        <v>2281.6</v>
      </c>
      <c r="BK26" s="118">
        <f>H26*Navires!$B$6</f>
        <v>0</v>
      </c>
      <c r="BL26" s="118">
        <f>I26*Navires!$B$6</f>
        <v>0</v>
      </c>
      <c r="BM26" s="118">
        <f>J26*Navires!$B$6</f>
        <v>570.4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10666.48</v>
      </c>
    </row>
    <row r="27" spans="1:73" x14ac:dyDescent="0.25">
      <c r="A27" t="s">
        <v>54</v>
      </c>
      <c r="B27" s="2" t="s">
        <v>42</v>
      </c>
      <c r="C27" s="2">
        <v>3</v>
      </c>
      <c r="D27" s="2">
        <v>4</v>
      </c>
      <c r="E27" s="2">
        <v>0</v>
      </c>
      <c r="F27" s="2">
        <v>6</v>
      </c>
      <c r="G27" s="2">
        <v>8</v>
      </c>
      <c r="H27" s="2">
        <v>1</v>
      </c>
      <c r="I27" s="2">
        <v>2</v>
      </c>
      <c r="J27" s="2">
        <v>0</v>
      </c>
      <c r="K27" s="2"/>
      <c r="L27" s="2"/>
      <c r="M27" s="2"/>
      <c r="N27" s="2"/>
      <c r="O27" s="2"/>
      <c r="P27" s="2"/>
      <c r="Q27" s="32"/>
      <c r="R27" s="34">
        <f t="shared" si="6"/>
        <v>24</v>
      </c>
      <c r="S27" s="82">
        <f t="shared" si="7"/>
        <v>5.4176072234762982</v>
      </c>
      <c r="U27" s="2" t="s">
        <v>42</v>
      </c>
      <c r="V27" s="2">
        <f>C27*Navires!$B$2</f>
        <v>5865</v>
      </c>
      <c r="W27" s="2">
        <f>D27*Navires!$C$2</f>
        <v>7820</v>
      </c>
      <c r="X27" s="2">
        <f>E27*Navires!$D$2</f>
        <v>0</v>
      </c>
      <c r="Y27" s="2">
        <f>F27*Navires!$E$2</f>
        <v>11280</v>
      </c>
      <c r="Z27" s="2">
        <f>G27*Navires!$F$2</f>
        <v>15168</v>
      </c>
      <c r="AA27" s="2">
        <f>H27*Navires!$G$2</f>
        <v>2000</v>
      </c>
      <c r="AB27" s="2">
        <f>I27*Navires!$H$2</f>
        <v>4000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46133</v>
      </c>
      <c r="AM27" s="118" t="s">
        <v>42</v>
      </c>
      <c r="AN27" s="118">
        <f>C27*Navires!$B$6</f>
        <v>1711.1999999999998</v>
      </c>
      <c r="AO27" s="118">
        <f>D27*Navires!$C$6</f>
        <v>2281.6</v>
      </c>
      <c r="AP27" s="118">
        <f>E27*Navires!$D$6</f>
        <v>0</v>
      </c>
      <c r="AQ27" s="118">
        <f>F27*Navires!$E$6</f>
        <v>7368</v>
      </c>
      <c r="AR27" s="118">
        <f>G27*Navires!$F$6</f>
        <v>5446.4000000000005</v>
      </c>
      <c r="AS27" s="118">
        <f>H27*Navires!$G$6</f>
        <v>680</v>
      </c>
      <c r="AT27" s="118">
        <f>I27*Navires!$H$6</f>
        <v>1360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5654.16</v>
      </c>
      <c r="BE27" s="118" t="s">
        <v>42</v>
      </c>
      <c r="BF27" s="118">
        <f>C27*Navires!$B$6</f>
        <v>1711.1999999999998</v>
      </c>
      <c r="BG27" s="118">
        <f>D27*Navires!$B$6</f>
        <v>2281.6</v>
      </c>
      <c r="BH27" s="118">
        <f>E27*Navires!$B$6</f>
        <v>0</v>
      </c>
      <c r="BI27" s="118">
        <f>F27*Navires!$B$6</f>
        <v>3422.3999999999996</v>
      </c>
      <c r="BJ27" s="118">
        <f>G27*Navires!$B$6</f>
        <v>4563.2</v>
      </c>
      <c r="BK27" s="118">
        <f>H27*Navires!$B$6</f>
        <v>570.4</v>
      </c>
      <c r="BL27" s="118">
        <f>I27*Navires!$B$6</f>
        <v>1140.8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23272.319999999992</v>
      </c>
    </row>
    <row r="28" spans="1:73" x14ac:dyDescent="0.25">
      <c r="A28" t="s">
        <v>55</v>
      </c>
      <c r="B28" s="2" t="s">
        <v>43</v>
      </c>
      <c r="C28" s="2">
        <v>5</v>
      </c>
      <c r="D28" s="2">
        <v>2</v>
      </c>
      <c r="E28" s="2">
        <v>0</v>
      </c>
      <c r="F28" s="2">
        <v>4</v>
      </c>
      <c r="G28" s="2">
        <v>6</v>
      </c>
      <c r="H28" s="2">
        <v>2</v>
      </c>
      <c r="I28" s="2">
        <v>5</v>
      </c>
      <c r="J28" s="2">
        <v>2</v>
      </c>
      <c r="K28" s="2"/>
      <c r="L28" s="2"/>
      <c r="M28" s="2"/>
      <c r="N28" s="2"/>
      <c r="O28" s="2"/>
      <c r="P28" s="2"/>
      <c r="Q28" s="32"/>
      <c r="R28" s="34">
        <f t="shared" si="6"/>
        <v>26</v>
      </c>
      <c r="S28" s="82">
        <f t="shared" si="7"/>
        <v>5.8690744920993234</v>
      </c>
      <c r="U28" s="2" t="s">
        <v>43</v>
      </c>
      <c r="V28" s="2">
        <f>C28*Navires!$B$2</f>
        <v>9775</v>
      </c>
      <c r="W28" s="2">
        <f>D28*Navires!$C$2</f>
        <v>3910</v>
      </c>
      <c r="X28" s="2">
        <f>E28*Navires!$D$2</f>
        <v>0</v>
      </c>
      <c r="Y28" s="2">
        <f>F28*Navires!$E$2</f>
        <v>7520</v>
      </c>
      <c r="Z28" s="2">
        <f>G28*Navires!$F$2</f>
        <v>11376</v>
      </c>
      <c r="AA28" s="2">
        <f>H28*Navires!$G$2</f>
        <v>4000</v>
      </c>
      <c r="AB28" s="2">
        <f>I28*Navires!$H$2</f>
        <v>10000</v>
      </c>
      <c r="AC28" s="2">
        <f>J28*Navires!$I$2</f>
        <v>4000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0</v>
      </c>
      <c r="AJ28" s="2">
        <f>Q28*Navires!$P$2</f>
        <v>0</v>
      </c>
      <c r="AK28" s="35">
        <f>(SUM(V28:AJ28))*Générale!$B14</f>
        <v>50581</v>
      </c>
      <c r="AM28" s="118" t="s">
        <v>43</v>
      </c>
      <c r="AN28" s="118">
        <f>C28*Navires!$B$6</f>
        <v>2852</v>
      </c>
      <c r="AO28" s="118">
        <f>D28*Navires!$C$6</f>
        <v>1140.8</v>
      </c>
      <c r="AP28" s="118">
        <f>E28*Navires!$D$6</f>
        <v>0</v>
      </c>
      <c r="AQ28" s="118">
        <f>F28*Navires!$E$6</f>
        <v>4912</v>
      </c>
      <c r="AR28" s="118">
        <f>G28*Navires!$F$6</f>
        <v>4084.8</v>
      </c>
      <c r="AS28" s="118">
        <f>H28*Navires!$G$6</f>
        <v>1360</v>
      </c>
      <c r="AT28" s="118">
        <f>I28*Navires!$H$6</f>
        <v>3400</v>
      </c>
      <c r="AU28" s="118">
        <f>J28*Navires!$I$6</f>
        <v>3121.6000000000004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0</v>
      </c>
      <c r="BB28" s="118">
        <f>Q28*Navires!$P$6</f>
        <v>0</v>
      </c>
      <c r="BC28" s="185">
        <f>SUM(AN28:BB28)*Générale!$B$26</f>
        <v>6261.3599999999988</v>
      </c>
      <c r="BE28" s="118" t="s">
        <v>43</v>
      </c>
      <c r="BF28" s="118">
        <f>C28*Navires!$B$6</f>
        <v>2852</v>
      </c>
      <c r="BG28" s="118">
        <f>D28*Navires!$B$6</f>
        <v>1140.8</v>
      </c>
      <c r="BH28" s="118">
        <f>E28*Navires!$B$6</f>
        <v>0</v>
      </c>
      <c r="BI28" s="118">
        <f>F28*Navires!$B$6</f>
        <v>2281.6</v>
      </c>
      <c r="BJ28" s="118">
        <f>G28*Navires!$B$6</f>
        <v>3422.3999999999996</v>
      </c>
      <c r="BK28" s="118">
        <f>H28*Navires!$B$6</f>
        <v>1140.8</v>
      </c>
      <c r="BL28" s="118">
        <f>I28*Navires!$B$6</f>
        <v>2852</v>
      </c>
      <c r="BM28" s="118">
        <f>J28*Navires!$B$6</f>
        <v>1140.8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0</v>
      </c>
      <c r="BT28" s="118">
        <f>Q28*Navires!$B$6</f>
        <v>0</v>
      </c>
      <c r="BU28" s="185">
        <f>SUM(BF28:BT28)*Générale!$B$22</f>
        <v>25211.679999999997</v>
      </c>
    </row>
    <row r="29" spans="1:73" x14ac:dyDescent="0.25">
      <c r="A29" t="s">
        <v>56</v>
      </c>
      <c r="B29" s="2" t="s">
        <v>44</v>
      </c>
      <c r="C29" s="2">
        <v>3</v>
      </c>
      <c r="D29" s="2">
        <v>1</v>
      </c>
      <c r="E29" s="2">
        <v>0</v>
      </c>
      <c r="F29" s="2">
        <v>1</v>
      </c>
      <c r="G29" s="2">
        <v>4</v>
      </c>
      <c r="H29" s="2">
        <v>1</v>
      </c>
      <c r="I29" s="2">
        <v>1</v>
      </c>
      <c r="J29" s="2">
        <v>1</v>
      </c>
      <c r="K29" s="2"/>
      <c r="L29" s="2"/>
      <c r="M29" s="2"/>
      <c r="N29" s="2"/>
      <c r="O29" s="2"/>
      <c r="P29" s="2"/>
      <c r="Q29" s="32"/>
      <c r="R29" s="34">
        <f t="shared" si="6"/>
        <v>12</v>
      </c>
      <c r="S29" s="82">
        <f t="shared" si="7"/>
        <v>2.8037383177570092</v>
      </c>
      <c r="U29" s="2" t="s">
        <v>44</v>
      </c>
      <c r="V29" s="2">
        <f>C29*Navires!$B$2</f>
        <v>5865</v>
      </c>
      <c r="W29" s="2">
        <f>D29*Navires!$C$2</f>
        <v>1955</v>
      </c>
      <c r="X29" s="2">
        <f>E29*Navires!$D$2</f>
        <v>0</v>
      </c>
      <c r="Y29" s="2">
        <f>F29*Navires!$E$2</f>
        <v>1880</v>
      </c>
      <c r="Z29" s="2">
        <f>G29*Navires!$F$2</f>
        <v>7584</v>
      </c>
      <c r="AA29" s="2">
        <f>H29*Navires!$G$2</f>
        <v>2000</v>
      </c>
      <c r="AB29" s="2">
        <f>I29*Navires!$H$2</f>
        <v>2000</v>
      </c>
      <c r="AC29" s="2">
        <f>J29*Navires!$I$2</f>
        <v>2000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23284</v>
      </c>
      <c r="AM29" s="118" t="s">
        <v>44</v>
      </c>
      <c r="AN29" s="118">
        <f>C29*Navires!$B$6</f>
        <v>1711.1999999999998</v>
      </c>
      <c r="AO29" s="118">
        <f>D29*Navires!$C$6</f>
        <v>570.4</v>
      </c>
      <c r="AP29" s="118">
        <f>E29*Navires!$D$6</f>
        <v>0</v>
      </c>
      <c r="AQ29" s="118">
        <f>F29*Navires!$E$6</f>
        <v>1228</v>
      </c>
      <c r="AR29" s="118">
        <f>G29*Navires!$F$6</f>
        <v>2723.2000000000003</v>
      </c>
      <c r="AS29" s="118">
        <f>H29*Navires!$G$6</f>
        <v>680</v>
      </c>
      <c r="AT29" s="118">
        <f>I29*Navires!$H$6</f>
        <v>680</v>
      </c>
      <c r="AU29" s="118">
        <f>J29*Navires!$I$6</f>
        <v>1560.8000000000002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2746.08</v>
      </c>
      <c r="BE29" s="118" t="s">
        <v>44</v>
      </c>
      <c r="BF29" s="118">
        <f>C29*Navires!$B$6</f>
        <v>1711.1999999999998</v>
      </c>
      <c r="BG29" s="118">
        <f>D29*Navires!$B$6</f>
        <v>570.4</v>
      </c>
      <c r="BH29" s="118">
        <f>E29*Navires!$B$6</f>
        <v>0</v>
      </c>
      <c r="BI29" s="118">
        <f>F29*Navires!$B$6</f>
        <v>570.4</v>
      </c>
      <c r="BJ29" s="118">
        <f>G29*Navires!$B$6</f>
        <v>2281.6</v>
      </c>
      <c r="BK29" s="118">
        <f>H29*Navires!$B$6</f>
        <v>570.4</v>
      </c>
      <c r="BL29" s="118">
        <f>I29*Navires!$B$6</f>
        <v>570.4</v>
      </c>
      <c r="BM29" s="118">
        <f>J29*Navires!$B$6</f>
        <v>570.4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11636.159999999998</v>
      </c>
    </row>
    <row r="30" spans="1:73" x14ac:dyDescent="0.25">
      <c r="A30" t="s">
        <v>57</v>
      </c>
      <c r="B30" s="2" t="s">
        <v>45</v>
      </c>
      <c r="C30" s="2">
        <v>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2</v>
      </c>
      <c r="K30" s="2"/>
      <c r="L30" s="2"/>
      <c r="M30" s="2"/>
      <c r="N30" s="2"/>
      <c r="O30" s="2"/>
      <c r="P30" s="2"/>
      <c r="Q30" s="32"/>
      <c r="R30" s="34">
        <f t="shared" si="6"/>
        <v>4</v>
      </c>
      <c r="S30" s="82">
        <f t="shared" si="7"/>
        <v>0.90293453724604977</v>
      </c>
      <c r="U30" s="2" t="s">
        <v>45</v>
      </c>
      <c r="V30" s="2">
        <f>C30*Navires!$B$2</f>
        <v>3910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0</v>
      </c>
      <c r="AA30" s="2">
        <f>H30*Navires!$G$2</f>
        <v>0</v>
      </c>
      <c r="AB30" s="2">
        <f>I30*Navires!$H$2</f>
        <v>0</v>
      </c>
      <c r="AC30" s="2">
        <f>J30*Navires!$I$2</f>
        <v>4000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7910</v>
      </c>
      <c r="AM30" s="118" t="s">
        <v>45</v>
      </c>
      <c r="AN30" s="118">
        <f>C30*Navires!$B$6</f>
        <v>1140.8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0</v>
      </c>
      <c r="AS30" s="118">
        <f>H30*Navires!$G$6</f>
        <v>0</v>
      </c>
      <c r="AT30" s="118">
        <f>I30*Navires!$H$6</f>
        <v>0</v>
      </c>
      <c r="AU30" s="118">
        <f>J30*Navires!$I$6</f>
        <v>3121.6000000000004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2131.2000000000003</v>
      </c>
      <c r="BE30" s="118" t="s">
        <v>45</v>
      </c>
      <c r="BF30" s="118">
        <f>C30*Navires!$B$6</f>
        <v>1140.8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0</v>
      </c>
      <c r="BK30" s="118">
        <f>H30*Navires!$B$6</f>
        <v>0</v>
      </c>
      <c r="BL30" s="118">
        <f>I30*Navires!$B$6</f>
        <v>0</v>
      </c>
      <c r="BM30" s="118">
        <f>J30*Navires!$B$6</f>
        <v>1140.8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3878.72</v>
      </c>
    </row>
    <row r="31" spans="1:73" x14ac:dyDescent="0.25">
      <c r="A31" t="s">
        <v>58</v>
      </c>
      <c r="B31" s="2" t="s">
        <v>46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/>
      <c r="L31" s="2"/>
      <c r="M31" s="2"/>
      <c r="N31" s="2"/>
      <c r="O31" s="2"/>
      <c r="P31" s="2"/>
      <c r="Q31" s="32"/>
      <c r="R31" s="34">
        <f t="shared" si="6"/>
        <v>0</v>
      </c>
      <c r="S31" s="82">
        <f t="shared" si="7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/>
      <c r="L32" s="2"/>
      <c r="M32" s="2"/>
      <c r="N32" s="2"/>
      <c r="O32" s="2"/>
      <c r="P32" s="2"/>
      <c r="Q32" s="32"/>
      <c r="R32" s="34">
        <f t="shared" si="6"/>
        <v>0</v>
      </c>
      <c r="S32" s="82">
        <f t="shared" si="7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16</v>
      </c>
      <c r="D33" s="34">
        <f t="shared" ref="D33:E33" si="8">SUM(D21:D32)</f>
        <v>12</v>
      </c>
      <c r="E33" s="34">
        <f t="shared" si="8"/>
        <v>0</v>
      </c>
      <c r="F33" s="34">
        <f>SUM(F21:F32)</f>
        <v>26</v>
      </c>
      <c r="G33" s="34">
        <f>SUM(G21:G32)</f>
        <v>24</v>
      </c>
      <c r="H33" s="34">
        <f t="shared" ref="H33:Q33" si="9">SUM(H21:H32)</f>
        <v>5</v>
      </c>
      <c r="I33" s="34">
        <f t="shared" si="9"/>
        <v>9</v>
      </c>
      <c r="J33" s="34">
        <f t="shared" si="9"/>
        <v>6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0</v>
      </c>
      <c r="Q33" s="34">
        <f t="shared" si="9"/>
        <v>0</v>
      </c>
      <c r="R33" s="34">
        <f t="shared" si="6"/>
        <v>98</v>
      </c>
      <c r="S33" s="82">
        <f t="shared" si="7"/>
        <v>1.8799155956263187</v>
      </c>
      <c r="U33" s="34" t="s">
        <v>60</v>
      </c>
      <c r="V33" s="34">
        <f>SUM(V21:V32)</f>
        <v>31280</v>
      </c>
      <c r="W33" s="34">
        <f t="shared" ref="W33:AJ33" si="10">SUM(W21:W32)</f>
        <v>23460</v>
      </c>
      <c r="X33" s="34">
        <f t="shared" si="10"/>
        <v>0</v>
      </c>
      <c r="Y33" s="34">
        <f t="shared" si="10"/>
        <v>48880</v>
      </c>
      <c r="Z33" s="34">
        <f t="shared" si="10"/>
        <v>45504</v>
      </c>
      <c r="AA33" s="34">
        <f t="shared" si="10"/>
        <v>10000</v>
      </c>
      <c r="AB33" s="34">
        <f t="shared" si="10"/>
        <v>18000</v>
      </c>
      <c r="AC33" s="34">
        <f t="shared" si="10"/>
        <v>12000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0</v>
      </c>
      <c r="AJ33" s="34">
        <f t="shared" si="10"/>
        <v>0</v>
      </c>
      <c r="AK33" s="121"/>
      <c r="AM33" s="34" t="s">
        <v>60</v>
      </c>
      <c r="AN33" s="34">
        <f>SUM(AN21:AN32)</f>
        <v>9126.4</v>
      </c>
      <c r="AO33" s="34">
        <f t="shared" ref="AO33:BB33" si="11">SUM(AO21:AO32)</f>
        <v>6844.8</v>
      </c>
      <c r="AP33" s="34">
        <f t="shared" si="11"/>
        <v>0</v>
      </c>
      <c r="AQ33" s="34">
        <f t="shared" si="11"/>
        <v>31928</v>
      </c>
      <c r="AR33" s="34">
        <f t="shared" si="11"/>
        <v>16339.2</v>
      </c>
      <c r="AS33" s="34">
        <f t="shared" si="11"/>
        <v>3400</v>
      </c>
      <c r="AT33" s="34">
        <f t="shared" si="11"/>
        <v>6120</v>
      </c>
      <c r="AU33" s="34">
        <f t="shared" si="11"/>
        <v>9364.8000000000011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0</v>
      </c>
      <c r="BB33" s="34">
        <f t="shared" si="11"/>
        <v>0</v>
      </c>
      <c r="BC33" s="118"/>
      <c r="BE33" s="34" t="s">
        <v>60</v>
      </c>
      <c r="BF33" s="118">
        <f>C33*Navires!$B$6</f>
        <v>9126.4</v>
      </c>
      <c r="BG33" s="118">
        <f>D33*Navires!$B$6</f>
        <v>6844.7999999999993</v>
      </c>
      <c r="BH33" s="118">
        <f>E33*Navires!$B$6</f>
        <v>0</v>
      </c>
      <c r="BI33" s="118">
        <f>F33*Navires!$B$6</f>
        <v>14830.4</v>
      </c>
      <c r="BJ33" s="118">
        <f>G33*Navires!$B$6</f>
        <v>13689.599999999999</v>
      </c>
      <c r="BK33" s="118">
        <f>H33*Navires!$B$6</f>
        <v>2852</v>
      </c>
      <c r="BL33" s="118">
        <f>I33*Navires!$B$6</f>
        <v>5133.5999999999995</v>
      </c>
      <c r="BM33" s="118">
        <f>J33*Navires!$B$6</f>
        <v>3422.3999999999996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0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  <row r="49" spans="1:37" s="117" customFormat="1" x14ac:dyDescent="0.25">
      <c r="B49" s="117" t="s">
        <v>155</v>
      </c>
    </row>
    <row r="50" spans="1:37" s="117" customFormat="1" ht="23.25" customHeight="1" x14ac:dyDescent="0.25">
      <c r="C50" s="215" t="s">
        <v>61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V50" s="215" t="s">
        <v>62</v>
      </c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7"/>
    </row>
    <row r="51" spans="1:37" s="117" customFormat="1" ht="23.25" customHeight="1" x14ac:dyDescent="0.25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8"/>
    </row>
    <row r="52" spans="1:37" s="117" customFormat="1" ht="45" x14ac:dyDescent="0.25">
      <c r="C52" s="24" t="s">
        <v>21</v>
      </c>
      <c r="D52" s="24" t="s">
        <v>22</v>
      </c>
      <c r="E52" s="23" t="s">
        <v>23</v>
      </c>
      <c r="F52" s="24" t="s">
        <v>24</v>
      </c>
      <c r="G52" s="24" t="s">
        <v>25</v>
      </c>
      <c r="H52" s="24" t="s">
        <v>26</v>
      </c>
      <c r="I52" s="25" t="s">
        <v>30</v>
      </c>
      <c r="J52" s="25" t="s">
        <v>33</v>
      </c>
      <c r="K52" s="25" t="s">
        <v>65</v>
      </c>
      <c r="L52" s="25" t="s">
        <v>31</v>
      </c>
      <c r="M52" s="25" t="s">
        <v>32</v>
      </c>
      <c r="N52" s="25" t="s">
        <v>29</v>
      </c>
      <c r="O52" s="25" t="s">
        <v>28</v>
      </c>
      <c r="P52" s="24" t="s">
        <v>27</v>
      </c>
      <c r="Q52" s="31" t="s">
        <v>34</v>
      </c>
      <c r="R52" s="33" t="s">
        <v>60</v>
      </c>
      <c r="S52" s="87"/>
      <c r="V52" s="24" t="s">
        <v>21</v>
      </c>
      <c r="W52" s="24" t="s">
        <v>22</v>
      </c>
      <c r="X52" s="24" t="s">
        <v>23</v>
      </c>
      <c r="Y52" s="24" t="s">
        <v>24</v>
      </c>
      <c r="Z52" s="24" t="s">
        <v>25</v>
      </c>
      <c r="AA52" s="24" t="s">
        <v>26</v>
      </c>
      <c r="AB52" s="25" t="s">
        <v>30</v>
      </c>
      <c r="AC52" s="25" t="s">
        <v>33</v>
      </c>
      <c r="AD52" s="25" t="s">
        <v>26</v>
      </c>
      <c r="AE52" s="25" t="s">
        <v>31</v>
      </c>
      <c r="AF52" s="25" t="s">
        <v>32</v>
      </c>
      <c r="AG52" s="25" t="s">
        <v>29</v>
      </c>
      <c r="AH52" s="25" t="s">
        <v>28</v>
      </c>
      <c r="AI52" s="24" t="s">
        <v>27</v>
      </c>
      <c r="AJ52" s="25" t="s">
        <v>34</v>
      </c>
      <c r="AK52" s="33" t="s">
        <v>60</v>
      </c>
    </row>
    <row r="53" spans="1:37" s="117" customFormat="1" x14ac:dyDescent="0.25">
      <c r="A53" s="117">
        <v>6</v>
      </c>
      <c r="B53" s="118" t="s">
        <v>147</v>
      </c>
      <c r="C53" s="118"/>
      <c r="D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32"/>
      <c r="R53" s="34">
        <f t="shared" ref="R53:R58" si="12">SUM(C53:Q53)</f>
        <v>0</v>
      </c>
      <c r="S53" s="135"/>
      <c r="U53" s="118" t="s">
        <v>147</v>
      </c>
      <c r="V53" s="118">
        <f>C53*Navires!$B$2</f>
        <v>0</v>
      </c>
      <c r="W53" s="118">
        <f>D53*Navires!$C$2</f>
        <v>0</v>
      </c>
      <c r="X53" s="118">
        <f>E53*Navires!$D$2</f>
        <v>0</v>
      </c>
      <c r="Y53" s="118">
        <f>F53*Navires!$E$2</f>
        <v>0</v>
      </c>
      <c r="Z53" s="118">
        <f>G53*Navires!$F$2</f>
        <v>0</v>
      </c>
      <c r="AA53" s="118">
        <f>H53*Navires!$G$2</f>
        <v>0</v>
      </c>
      <c r="AB53" s="118">
        <f>I53*Navires!$H$2</f>
        <v>0</v>
      </c>
      <c r="AC53" s="118">
        <f>J53*Navires!$I$2</f>
        <v>0</v>
      </c>
      <c r="AD53" s="118">
        <f>K53*Navires!$J$2</f>
        <v>0</v>
      </c>
      <c r="AE53" s="118">
        <f>L53*Navires!$K$2</f>
        <v>0</v>
      </c>
      <c r="AF53" s="118">
        <f>M53*Navires!$L$2</f>
        <v>0</v>
      </c>
      <c r="AG53" s="118">
        <f>N53*Navires!$M$2</f>
        <v>0</v>
      </c>
      <c r="AH53" s="118">
        <f>O53*Navires!$N$2</f>
        <v>0</v>
      </c>
      <c r="AI53" s="118">
        <f>P53*Navires!$O$2</f>
        <v>0</v>
      </c>
      <c r="AJ53" s="118">
        <f>Q53*Navires!$P$2</f>
        <v>0</v>
      </c>
      <c r="AK53" s="35">
        <f>(SUM(V53:AJ53))*Générale!$B$8</f>
        <v>0</v>
      </c>
    </row>
    <row r="54" spans="1:37" s="117" customFormat="1" x14ac:dyDescent="0.25">
      <c r="A54" s="117">
        <v>7</v>
      </c>
      <c r="B54" s="118" t="s">
        <v>148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32"/>
      <c r="R54" s="34">
        <f t="shared" si="12"/>
        <v>0</v>
      </c>
      <c r="S54" s="135"/>
      <c r="U54" s="118" t="s">
        <v>148</v>
      </c>
      <c r="V54" s="118">
        <f>C54*Navires!$B$2</f>
        <v>0</v>
      </c>
      <c r="W54" s="118">
        <f>D54*Navires!$C$2</f>
        <v>0</v>
      </c>
      <c r="X54" s="118">
        <f>E54*Navires!$D$2</f>
        <v>0</v>
      </c>
      <c r="Y54" s="118">
        <f>F54*Navires!$E$2</f>
        <v>0</v>
      </c>
      <c r="Z54" s="118">
        <f>G54*Navires!$F$2</f>
        <v>0</v>
      </c>
      <c r="AA54" s="118">
        <f>H54*Navires!$G$2</f>
        <v>0</v>
      </c>
      <c r="AB54" s="118">
        <f>I54*Navires!$H$2</f>
        <v>0</v>
      </c>
      <c r="AC54" s="118">
        <f>J54*Navires!$I$2</f>
        <v>0</v>
      </c>
      <c r="AD54" s="118">
        <f>K54*Navires!$J$2</f>
        <v>0</v>
      </c>
      <c r="AE54" s="118">
        <f>L54*Navires!$K$2</f>
        <v>0</v>
      </c>
      <c r="AF54" s="118">
        <f>M54*Navires!$L$2</f>
        <v>0</v>
      </c>
      <c r="AG54" s="118">
        <f>N54*Navires!$M$2</f>
        <v>0</v>
      </c>
      <c r="AH54" s="118">
        <f>O54*Navires!$N$2</f>
        <v>0</v>
      </c>
      <c r="AI54" s="118">
        <f>P54*Navires!$O$2</f>
        <v>0</v>
      </c>
      <c r="AJ54" s="118">
        <f>Q54*Navires!$P$2</f>
        <v>0</v>
      </c>
      <c r="AK54" s="35">
        <f>(SUM(V54:AJ54))*Générale!$B$8</f>
        <v>0</v>
      </c>
    </row>
    <row r="55" spans="1:37" s="117" customFormat="1" x14ac:dyDescent="0.25">
      <c r="A55" s="117">
        <v>8</v>
      </c>
      <c r="B55" s="118" t="s">
        <v>149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32"/>
      <c r="R55" s="34">
        <f t="shared" si="12"/>
        <v>0</v>
      </c>
      <c r="S55" s="135"/>
      <c r="U55" s="118" t="s">
        <v>149</v>
      </c>
      <c r="V55" s="118">
        <f>C55*Navires!$B$2</f>
        <v>0</v>
      </c>
      <c r="W55" s="118">
        <f>D55*Navires!$C$2</f>
        <v>0</v>
      </c>
      <c r="X55" s="118">
        <f>E55*Navires!$D$2</f>
        <v>0</v>
      </c>
      <c r="Y55" s="118">
        <f>F55*Navires!$E$2</f>
        <v>0</v>
      </c>
      <c r="Z55" s="118">
        <f>G55*Navires!$F$2</f>
        <v>0</v>
      </c>
      <c r="AA55" s="118">
        <f>H55*Navires!$G$2</f>
        <v>0</v>
      </c>
      <c r="AB55" s="118">
        <f>I55*Navires!$H$2</f>
        <v>0</v>
      </c>
      <c r="AC55" s="118">
        <f>J55*Navires!$I$2</f>
        <v>0</v>
      </c>
      <c r="AD55" s="118">
        <f>K55*Navires!$J$2</f>
        <v>0</v>
      </c>
      <c r="AE55" s="118">
        <f>L55*Navires!$K$2</f>
        <v>0</v>
      </c>
      <c r="AF55" s="118">
        <f>M55*Navires!$L$2</f>
        <v>0</v>
      </c>
      <c r="AG55" s="118">
        <f>N55*Navires!$M$2</f>
        <v>0</v>
      </c>
      <c r="AH55" s="118">
        <f>O55*Navires!$N$2</f>
        <v>0</v>
      </c>
      <c r="AI55" s="118">
        <f>P55*Navires!$O$2</f>
        <v>0</v>
      </c>
      <c r="AJ55" s="118">
        <f>Q55*Navires!$P$2</f>
        <v>0</v>
      </c>
      <c r="AK55" s="35">
        <f>(SUM(V55:AJ55))*Générale!$B$8</f>
        <v>0</v>
      </c>
    </row>
    <row r="56" spans="1:37" s="117" customFormat="1" x14ac:dyDescent="0.25">
      <c r="A56" s="117">
        <v>9</v>
      </c>
      <c r="B56" s="118" t="s">
        <v>150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32"/>
      <c r="R56" s="34">
        <f t="shared" si="12"/>
        <v>0</v>
      </c>
      <c r="S56" s="135"/>
      <c r="U56" s="118" t="s">
        <v>150</v>
      </c>
      <c r="V56" s="118">
        <f>C56*Navires!$B$2</f>
        <v>0</v>
      </c>
      <c r="W56" s="118">
        <f>D56*Navires!$C$2</f>
        <v>0</v>
      </c>
      <c r="X56" s="118">
        <f>E56*Navires!$D$2</f>
        <v>0</v>
      </c>
      <c r="Y56" s="118">
        <f>F56*Navires!$E$2</f>
        <v>0</v>
      </c>
      <c r="Z56" s="118">
        <f>G56*Navires!$F$2</f>
        <v>0</v>
      </c>
      <c r="AA56" s="118">
        <f>H56*Navires!$G$2</f>
        <v>0</v>
      </c>
      <c r="AB56" s="118">
        <f>I56*Navires!$H$2</f>
        <v>0</v>
      </c>
      <c r="AC56" s="118">
        <f>J56*Navires!$I$2</f>
        <v>0</v>
      </c>
      <c r="AD56" s="118">
        <f>K56*Navires!$J$2</f>
        <v>0</v>
      </c>
      <c r="AE56" s="118">
        <f>L56*Navires!$K$2</f>
        <v>0</v>
      </c>
      <c r="AF56" s="118">
        <f>M56*Navires!$L$2</f>
        <v>0</v>
      </c>
      <c r="AG56" s="118">
        <f>N56*Navires!$M$2</f>
        <v>0</v>
      </c>
      <c r="AH56" s="118">
        <f>O56*Navires!$N$2</f>
        <v>0</v>
      </c>
      <c r="AI56" s="118">
        <f>P56*Navires!$O$2</f>
        <v>0</v>
      </c>
      <c r="AJ56" s="118">
        <f>Q56*Navires!$P$2</f>
        <v>0</v>
      </c>
      <c r="AK56" s="35">
        <f>(SUM(V56:AJ56))*Générale!$B$8</f>
        <v>0</v>
      </c>
    </row>
    <row r="57" spans="1:37" s="117" customFormat="1" x14ac:dyDescent="0.25">
      <c r="A57" s="117">
        <v>10</v>
      </c>
      <c r="B57" s="118" t="s">
        <v>151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2"/>
      <c r="R57" s="34">
        <f t="shared" si="12"/>
        <v>0</v>
      </c>
      <c r="S57" s="135"/>
      <c r="U57" s="118" t="s">
        <v>151</v>
      </c>
      <c r="V57" s="118">
        <f>C57*Navires!$B$2</f>
        <v>0</v>
      </c>
      <c r="W57" s="118">
        <f>D57*Navires!$C$2</f>
        <v>0</v>
      </c>
      <c r="X57" s="118">
        <f>E57*Navires!$D$2</f>
        <v>0</v>
      </c>
      <c r="Y57" s="118">
        <f>F57*Navires!$E$2</f>
        <v>0</v>
      </c>
      <c r="Z57" s="118">
        <f>G57*Navires!$F$2</f>
        <v>0</v>
      </c>
      <c r="AA57" s="118">
        <f>H57*Navires!$G$2</f>
        <v>0</v>
      </c>
      <c r="AB57" s="118">
        <f>I57*Navires!$H$2</f>
        <v>0</v>
      </c>
      <c r="AC57" s="118">
        <f>J57*Navires!$I$2</f>
        <v>0</v>
      </c>
      <c r="AD57" s="118">
        <f>K57*Navires!$J$2</f>
        <v>0</v>
      </c>
      <c r="AE57" s="118">
        <f>L57*Navires!$K$2</f>
        <v>0</v>
      </c>
      <c r="AF57" s="118">
        <f>M57*Navires!$L$2</f>
        <v>0</v>
      </c>
      <c r="AG57" s="118">
        <f>N57*Navires!$M$2</f>
        <v>0</v>
      </c>
      <c r="AH57" s="118">
        <f>O57*Navires!$N$2</f>
        <v>0</v>
      </c>
      <c r="AI57" s="118">
        <f>P57*Navires!$O$2</f>
        <v>0</v>
      </c>
      <c r="AJ57" s="118">
        <f>Q57*Navires!$P$2</f>
        <v>0</v>
      </c>
      <c r="AK57" s="35">
        <f>(SUM(V57:AJ57))*Générale!$B$8</f>
        <v>0</v>
      </c>
    </row>
    <row r="58" spans="1:37" s="117" customFormat="1" x14ac:dyDescent="0.25">
      <c r="A58" s="117">
        <v>11</v>
      </c>
      <c r="B58" s="118" t="s">
        <v>152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32"/>
      <c r="R58" s="34">
        <f t="shared" si="12"/>
        <v>0</v>
      </c>
      <c r="S58" s="135"/>
      <c r="U58" s="118" t="s">
        <v>152</v>
      </c>
      <c r="V58" s="118">
        <f>C58*Navires!$B$2</f>
        <v>0</v>
      </c>
      <c r="W58" s="118">
        <f>D58*Navires!$C$2</f>
        <v>0</v>
      </c>
      <c r="X58" s="118">
        <f>E58*Navires!$D$2</f>
        <v>0</v>
      </c>
      <c r="Y58" s="118">
        <f>F58*Navires!$E$2</f>
        <v>0</v>
      </c>
      <c r="Z58" s="118">
        <f>G58*Navires!$F$2</f>
        <v>0</v>
      </c>
      <c r="AA58" s="118">
        <f>H58*Navires!$G$2</f>
        <v>0</v>
      </c>
      <c r="AB58" s="118">
        <f>I58*Navires!$H$2</f>
        <v>0</v>
      </c>
      <c r="AC58" s="118">
        <f>J58*Navires!$I$2</f>
        <v>0</v>
      </c>
      <c r="AD58" s="118">
        <f>K58*Navires!$J$2</f>
        <v>0</v>
      </c>
      <c r="AE58" s="118">
        <f>L58*Navires!$K$2</f>
        <v>0</v>
      </c>
      <c r="AF58" s="118">
        <f>M58*Navires!$L$2</f>
        <v>0</v>
      </c>
      <c r="AG58" s="118">
        <f>N58*Navires!$M$2</f>
        <v>0</v>
      </c>
      <c r="AH58" s="118">
        <f>O58*Navires!$N$2</f>
        <v>0</v>
      </c>
      <c r="AI58" s="118">
        <f>P58*Navires!$O$2</f>
        <v>0</v>
      </c>
      <c r="AJ58" s="118">
        <f>Q58*Navires!$P$2</f>
        <v>0</v>
      </c>
      <c r="AK58" s="35">
        <f>(SUM(V58:AJ58))*Générale!$B$8</f>
        <v>0</v>
      </c>
    </row>
    <row r="59" spans="1:37" s="117" customFormat="1" ht="15" customHeight="1" x14ac:dyDescent="0.25">
      <c r="A59" s="117">
        <v>12</v>
      </c>
      <c r="B59" s="118" t="s">
        <v>146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32"/>
      <c r="R59" s="34">
        <f>SUM(C59:Q59)</f>
        <v>0</v>
      </c>
      <c r="S59" s="135"/>
      <c r="U59" s="118" t="s">
        <v>146</v>
      </c>
      <c r="V59" s="118">
        <f>C59*Navires!$B$2</f>
        <v>0</v>
      </c>
      <c r="W59" s="118">
        <f>D59*Navires!$C$2</f>
        <v>0</v>
      </c>
      <c r="X59" s="118">
        <f>E59*Navires!$D$2</f>
        <v>0</v>
      </c>
      <c r="Y59" s="118">
        <f>F59*Navires!$E$2</f>
        <v>0</v>
      </c>
      <c r="Z59" s="118">
        <f>G59*Navires!$F$2</f>
        <v>0</v>
      </c>
      <c r="AA59" s="118">
        <f>H59*Navires!$G$2</f>
        <v>0</v>
      </c>
      <c r="AB59" s="118">
        <f>I59*Navires!$H$2</f>
        <v>0</v>
      </c>
      <c r="AC59" s="118">
        <f>J59*Navires!$I$2</f>
        <v>0</v>
      </c>
      <c r="AD59" s="118">
        <f>K59*Navires!$J$2</f>
        <v>0</v>
      </c>
      <c r="AE59" s="118">
        <f>L59*Navires!$K$2</f>
        <v>0</v>
      </c>
      <c r="AF59" s="118">
        <f>M59*Navires!$L$2</f>
        <v>0</v>
      </c>
      <c r="AG59" s="118">
        <f>N59*Navires!$M$2</f>
        <v>0</v>
      </c>
      <c r="AH59" s="118">
        <f>O59*Navires!$N$2</f>
        <v>0</v>
      </c>
      <c r="AI59" s="118">
        <f>P59*Navires!$O$2</f>
        <v>0</v>
      </c>
      <c r="AJ59" s="118">
        <f>Q59*Navires!$P$2</f>
        <v>0</v>
      </c>
      <c r="AK59" s="35">
        <f>(SUM(V59:AJ59))*Générale!$B$8</f>
        <v>0</v>
      </c>
    </row>
    <row r="60" spans="1:37" s="117" customFormat="1" ht="15" customHeight="1" x14ac:dyDescent="0.25">
      <c r="C60" s="215" t="s">
        <v>63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U60" s="217" t="s">
        <v>64</v>
      </c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</row>
    <row r="61" spans="1:37" s="117" customFormat="1" ht="26.25" customHeight="1" x14ac:dyDescent="0.25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</row>
    <row r="62" spans="1:37" s="117" customFormat="1" ht="45" x14ac:dyDescent="0.25">
      <c r="C62" s="24" t="s">
        <v>21</v>
      </c>
      <c r="D62" s="24" t="s">
        <v>22</v>
      </c>
      <c r="E62" s="23" t="s">
        <v>23</v>
      </c>
      <c r="F62" s="24" t="s">
        <v>24</v>
      </c>
      <c r="G62" s="24" t="s">
        <v>25</v>
      </c>
      <c r="H62" s="24" t="s">
        <v>26</v>
      </c>
      <c r="I62" s="25" t="s">
        <v>30</v>
      </c>
      <c r="J62" s="25" t="s">
        <v>33</v>
      </c>
      <c r="K62" s="25" t="s">
        <v>65</v>
      </c>
      <c r="L62" s="25" t="s">
        <v>31</v>
      </c>
      <c r="M62" s="25" t="s">
        <v>32</v>
      </c>
      <c r="N62" s="25" t="s">
        <v>29</v>
      </c>
      <c r="O62" s="25" t="s">
        <v>28</v>
      </c>
      <c r="P62" s="24" t="s">
        <v>27</v>
      </c>
      <c r="Q62" s="31" t="s">
        <v>34</v>
      </c>
      <c r="R62" s="33" t="s">
        <v>60</v>
      </c>
      <c r="U62" s="118"/>
      <c r="V62" s="23" t="s">
        <v>21</v>
      </c>
      <c r="W62" s="23" t="s">
        <v>22</v>
      </c>
      <c r="X62" s="23" t="s">
        <v>23</v>
      </c>
      <c r="Y62" s="23" t="s">
        <v>24</v>
      </c>
      <c r="Z62" s="23" t="s">
        <v>25</v>
      </c>
      <c r="AA62" s="23" t="s">
        <v>26</v>
      </c>
      <c r="AB62" s="23" t="s">
        <v>30</v>
      </c>
      <c r="AC62" s="23" t="s">
        <v>33</v>
      </c>
      <c r="AD62" s="23" t="s">
        <v>26</v>
      </c>
      <c r="AE62" s="23" t="s">
        <v>31</v>
      </c>
      <c r="AF62" s="23" t="s">
        <v>32</v>
      </c>
      <c r="AG62" s="23" t="s">
        <v>29</v>
      </c>
      <c r="AH62" s="23" t="s">
        <v>28</v>
      </c>
      <c r="AI62" s="23" t="s">
        <v>27</v>
      </c>
      <c r="AJ62" s="23" t="s">
        <v>34</v>
      </c>
      <c r="AK62" s="37" t="s">
        <v>60</v>
      </c>
    </row>
    <row r="63" spans="1:37" s="117" customFormat="1" x14ac:dyDescent="0.25">
      <c r="A63" s="117">
        <v>6</v>
      </c>
      <c r="B63" s="118" t="s">
        <v>147</v>
      </c>
      <c r="C63" s="118"/>
      <c r="D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32"/>
      <c r="R63" s="34">
        <f t="shared" ref="R63:R68" si="13">SUM(C63:Q63)</f>
        <v>0</v>
      </c>
      <c r="U63" s="118" t="s">
        <v>147</v>
      </c>
      <c r="V63" s="118">
        <f>C63*Navires!$B$2</f>
        <v>0</v>
      </c>
      <c r="W63" s="118">
        <f>D63*Navires!$C$2</f>
        <v>0</v>
      </c>
      <c r="X63" s="118">
        <f>E63*Navires!$D$2</f>
        <v>0</v>
      </c>
      <c r="Y63" s="118">
        <f>F63*Navires!$E$2</f>
        <v>0</v>
      </c>
      <c r="Z63" s="118">
        <f>G63*Navires!$F$2</f>
        <v>0</v>
      </c>
      <c r="AA63" s="118">
        <f>H63*Navires!$G$2</f>
        <v>0</v>
      </c>
      <c r="AB63" s="118">
        <f>I63*Navires!$H$2</f>
        <v>0</v>
      </c>
      <c r="AC63" s="118">
        <f>J63*Navires!$I$2</f>
        <v>0</v>
      </c>
      <c r="AD63" s="118">
        <f>K63*Navires!$J$2</f>
        <v>0</v>
      </c>
      <c r="AE63" s="118">
        <f>L63*Navires!$K$2</f>
        <v>0</v>
      </c>
      <c r="AF63" s="118">
        <f>M63*Navires!$L$2</f>
        <v>0</v>
      </c>
      <c r="AG63" s="118">
        <f>N63*Navires!$M$2</f>
        <v>0</v>
      </c>
      <c r="AH63" s="118">
        <f>O63*Navires!$N$2</f>
        <v>0</v>
      </c>
      <c r="AI63" s="118">
        <f>P63*Navires!$O$2</f>
        <v>0</v>
      </c>
      <c r="AJ63" s="118">
        <f>Q63*Navires!$P$2</f>
        <v>0</v>
      </c>
      <c r="AK63" s="35">
        <f>(SUM(V63:AJ63))*Générale!$B$8</f>
        <v>0</v>
      </c>
    </row>
    <row r="64" spans="1:37" s="117" customFormat="1" x14ac:dyDescent="0.25">
      <c r="A64" s="117">
        <v>7</v>
      </c>
      <c r="B64" s="118" t="s">
        <v>148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32"/>
      <c r="R64" s="34">
        <f t="shared" si="13"/>
        <v>0</v>
      </c>
      <c r="U64" s="118" t="s">
        <v>148</v>
      </c>
      <c r="V64" s="118">
        <f>C64*Navires!$B$2</f>
        <v>0</v>
      </c>
      <c r="W64" s="118">
        <f>D64*Navires!$C$2</f>
        <v>0</v>
      </c>
      <c r="X64" s="118">
        <f>E64*Navires!$D$2</f>
        <v>0</v>
      </c>
      <c r="Y64" s="118">
        <f>F64*Navires!$E$2</f>
        <v>0</v>
      </c>
      <c r="Z64" s="118">
        <f>G64*Navires!$F$2</f>
        <v>0</v>
      </c>
      <c r="AA64" s="118">
        <f>H64*Navires!$G$2</f>
        <v>0</v>
      </c>
      <c r="AB64" s="118">
        <f>I64*Navires!$H$2</f>
        <v>0</v>
      </c>
      <c r="AC64" s="118">
        <f>J64*Navires!$I$2</f>
        <v>0</v>
      </c>
      <c r="AD64" s="118">
        <f>K64*Navires!$J$2</f>
        <v>0</v>
      </c>
      <c r="AE64" s="118">
        <f>L64*Navires!$K$2</f>
        <v>0</v>
      </c>
      <c r="AF64" s="118">
        <f>M64*Navires!$L$2</f>
        <v>0</v>
      </c>
      <c r="AG64" s="118">
        <f>N64*Navires!$M$2</f>
        <v>0</v>
      </c>
      <c r="AH64" s="118">
        <f>O64*Navires!$N$2</f>
        <v>0</v>
      </c>
      <c r="AI64" s="118">
        <f>P64*Navires!$O$2</f>
        <v>0</v>
      </c>
      <c r="AJ64" s="118">
        <f>Q64*Navires!$P$2</f>
        <v>0</v>
      </c>
      <c r="AK64" s="35">
        <f>(SUM(V64:AJ64))*Générale!$B$8</f>
        <v>0</v>
      </c>
    </row>
    <row r="65" spans="1:37" s="117" customFormat="1" x14ac:dyDescent="0.25">
      <c r="A65" s="117">
        <v>8</v>
      </c>
      <c r="B65" s="118" t="s">
        <v>149</v>
      </c>
      <c r="C65" s="118"/>
      <c r="D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32"/>
      <c r="R65" s="34">
        <f t="shared" si="13"/>
        <v>0</v>
      </c>
      <c r="U65" s="118" t="s">
        <v>149</v>
      </c>
      <c r="V65" s="118">
        <f>C65*Navires!$B$2</f>
        <v>0</v>
      </c>
      <c r="W65" s="118">
        <f>D65*Navires!$C$2</f>
        <v>0</v>
      </c>
      <c r="X65" s="118">
        <f>E65*Navires!$D$2</f>
        <v>0</v>
      </c>
      <c r="Y65" s="118">
        <f>F65*Navires!$E$2</f>
        <v>0</v>
      </c>
      <c r="Z65" s="118">
        <f>G65*Navires!$F$2</f>
        <v>0</v>
      </c>
      <c r="AA65" s="118">
        <f>H65*Navires!$G$2</f>
        <v>0</v>
      </c>
      <c r="AB65" s="118">
        <f>I65*Navires!$H$2</f>
        <v>0</v>
      </c>
      <c r="AC65" s="118">
        <f>J65*Navires!$I$2</f>
        <v>0</v>
      </c>
      <c r="AD65" s="118">
        <f>K65*Navires!$J$2</f>
        <v>0</v>
      </c>
      <c r="AE65" s="118">
        <f>L65*Navires!$K$2</f>
        <v>0</v>
      </c>
      <c r="AF65" s="118">
        <f>M65*Navires!$L$2</f>
        <v>0</v>
      </c>
      <c r="AG65" s="118">
        <f>N65*Navires!$M$2</f>
        <v>0</v>
      </c>
      <c r="AH65" s="118">
        <f>O65*Navires!$N$2</f>
        <v>0</v>
      </c>
      <c r="AI65" s="118">
        <f>P65*Navires!$O$2</f>
        <v>0</v>
      </c>
      <c r="AJ65" s="118">
        <f>Q65*Navires!$P$2</f>
        <v>0</v>
      </c>
      <c r="AK65" s="35">
        <f>(SUM(V65:AJ65))*Générale!$B$8</f>
        <v>0</v>
      </c>
    </row>
    <row r="66" spans="1:37" s="117" customFormat="1" x14ac:dyDescent="0.25">
      <c r="A66" s="117">
        <v>9</v>
      </c>
      <c r="B66" s="118" t="s">
        <v>150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32"/>
      <c r="R66" s="34">
        <f t="shared" si="13"/>
        <v>0</v>
      </c>
      <c r="U66" s="118" t="s">
        <v>150</v>
      </c>
      <c r="V66" s="118">
        <f>C66*Navires!$B$2</f>
        <v>0</v>
      </c>
      <c r="W66" s="118">
        <f>D66*Navires!$C$2</f>
        <v>0</v>
      </c>
      <c r="X66" s="118">
        <f>E66*Navires!$D$2</f>
        <v>0</v>
      </c>
      <c r="Y66" s="118">
        <f>F66*Navires!$E$2</f>
        <v>0</v>
      </c>
      <c r="Z66" s="118">
        <f>G66*Navires!$F$2</f>
        <v>0</v>
      </c>
      <c r="AA66" s="118">
        <f>H66*Navires!$G$2</f>
        <v>0</v>
      </c>
      <c r="AB66" s="118">
        <f>I66*Navires!$H$2</f>
        <v>0</v>
      </c>
      <c r="AC66" s="118">
        <f>J66*Navires!$I$2</f>
        <v>0</v>
      </c>
      <c r="AD66" s="118">
        <f>K66*Navires!$J$2</f>
        <v>0</v>
      </c>
      <c r="AE66" s="118">
        <f>L66*Navires!$K$2</f>
        <v>0</v>
      </c>
      <c r="AF66" s="118">
        <f>M66*Navires!$L$2</f>
        <v>0</v>
      </c>
      <c r="AG66" s="118">
        <f>N66*Navires!$M$2</f>
        <v>0</v>
      </c>
      <c r="AH66" s="118">
        <f>O66*Navires!$N$2</f>
        <v>0</v>
      </c>
      <c r="AI66" s="118">
        <f>P66*Navires!$O$2</f>
        <v>0</v>
      </c>
      <c r="AJ66" s="118">
        <f>Q66*Navires!$P$2</f>
        <v>0</v>
      </c>
      <c r="AK66" s="35">
        <f>(SUM(V66:AJ66))*Générale!$B$8</f>
        <v>0</v>
      </c>
    </row>
    <row r="67" spans="1:37" s="117" customFormat="1" x14ac:dyDescent="0.25">
      <c r="A67" s="117">
        <v>10</v>
      </c>
      <c r="B67" s="118" t="s">
        <v>151</v>
      </c>
      <c r="C67" s="118"/>
      <c r="D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32"/>
      <c r="R67" s="34">
        <f t="shared" si="13"/>
        <v>0</v>
      </c>
      <c r="U67" s="118" t="s">
        <v>151</v>
      </c>
      <c r="V67" s="118">
        <f>C67*Navires!$B$2</f>
        <v>0</v>
      </c>
      <c r="W67" s="118">
        <f>D67*Navires!$C$2</f>
        <v>0</v>
      </c>
      <c r="X67" s="118">
        <f>E67*Navires!$D$2</f>
        <v>0</v>
      </c>
      <c r="Y67" s="118">
        <f>F67*Navires!$E$2</f>
        <v>0</v>
      </c>
      <c r="Z67" s="118">
        <f>G67*Navires!$F$2</f>
        <v>0</v>
      </c>
      <c r="AA67" s="118">
        <f>H67*Navires!$G$2</f>
        <v>0</v>
      </c>
      <c r="AB67" s="118">
        <f>I67*Navires!$H$2</f>
        <v>0</v>
      </c>
      <c r="AC67" s="118">
        <f>J67*Navires!$I$2</f>
        <v>0</v>
      </c>
      <c r="AD67" s="118">
        <f>K67*Navires!$J$2</f>
        <v>0</v>
      </c>
      <c r="AE67" s="118">
        <f>L67*Navires!$K$2</f>
        <v>0</v>
      </c>
      <c r="AF67" s="118">
        <f>M67*Navires!$L$2</f>
        <v>0</v>
      </c>
      <c r="AG67" s="118">
        <f>N67*Navires!$M$2</f>
        <v>0</v>
      </c>
      <c r="AH67" s="118">
        <f>O67*Navires!$N$2</f>
        <v>0</v>
      </c>
      <c r="AI67" s="118">
        <f>P67*Navires!$O$2</f>
        <v>0</v>
      </c>
      <c r="AJ67" s="118">
        <f>Q67*Navires!$P$2</f>
        <v>0</v>
      </c>
      <c r="AK67" s="35">
        <f>(SUM(V67:AJ67))*Générale!$B$8</f>
        <v>0</v>
      </c>
    </row>
    <row r="68" spans="1:37" s="117" customFormat="1" x14ac:dyDescent="0.25">
      <c r="A68" s="117">
        <v>11</v>
      </c>
      <c r="B68" s="118" t="s">
        <v>152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32"/>
      <c r="R68" s="34">
        <f t="shared" si="13"/>
        <v>0</v>
      </c>
      <c r="U68" s="118" t="s">
        <v>152</v>
      </c>
      <c r="V68" s="118">
        <f>C68*Navires!$B$2</f>
        <v>0</v>
      </c>
      <c r="W68" s="118">
        <f>D68*Navires!$C$2</f>
        <v>0</v>
      </c>
      <c r="X68" s="118">
        <f>E68*Navires!$D$2</f>
        <v>0</v>
      </c>
      <c r="Y68" s="118">
        <f>F68*Navires!$E$2</f>
        <v>0</v>
      </c>
      <c r="Z68" s="118">
        <f>G68*Navires!$F$2</f>
        <v>0</v>
      </c>
      <c r="AA68" s="118">
        <f>H68*Navires!$G$2</f>
        <v>0</v>
      </c>
      <c r="AB68" s="118">
        <f>I68*Navires!$H$2</f>
        <v>0</v>
      </c>
      <c r="AC68" s="118">
        <f>J68*Navires!$I$2</f>
        <v>0</v>
      </c>
      <c r="AD68" s="118">
        <f>K68*Navires!$J$2</f>
        <v>0</v>
      </c>
      <c r="AE68" s="118">
        <f>L68*Navires!$K$2</f>
        <v>0</v>
      </c>
      <c r="AF68" s="118">
        <f>M68*Navires!$L$2</f>
        <v>0</v>
      </c>
      <c r="AG68" s="118">
        <f>N68*Navires!$M$2</f>
        <v>0</v>
      </c>
      <c r="AH68" s="118">
        <f>O68*Navires!$N$2</f>
        <v>0</v>
      </c>
      <c r="AI68" s="118">
        <f>P68*Navires!$O$2</f>
        <v>0</v>
      </c>
      <c r="AJ68" s="118">
        <f>Q68*Navires!$P$2</f>
        <v>0</v>
      </c>
      <c r="AK68" s="35">
        <f>(SUM(V68:AJ68))*Générale!$B$8</f>
        <v>0</v>
      </c>
    </row>
    <row r="69" spans="1:37" s="117" customFormat="1" x14ac:dyDescent="0.25">
      <c r="A69" s="117">
        <v>12</v>
      </c>
      <c r="B69" s="118" t="s">
        <v>146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32"/>
      <c r="R69" s="34">
        <f>SUM(C69:Q69)</f>
        <v>0</v>
      </c>
      <c r="U69" s="118" t="s">
        <v>146</v>
      </c>
      <c r="V69" s="118">
        <f>C69*Navires!$B$2</f>
        <v>0</v>
      </c>
      <c r="W69" s="118">
        <f>D69*Navires!$C$2</f>
        <v>0</v>
      </c>
      <c r="X69" s="118">
        <f>E69*Navires!$D$2</f>
        <v>0</v>
      </c>
      <c r="Y69" s="118">
        <f>F69*Navires!$E$2</f>
        <v>0</v>
      </c>
      <c r="Z69" s="118">
        <f>G69*Navires!$F$2</f>
        <v>0</v>
      </c>
      <c r="AA69" s="118">
        <f>H69*Navires!$G$2</f>
        <v>0</v>
      </c>
      <c r="AB69" s="118">
        <f>I69*Navires!$H$2</f>
        <v>0</v>
      </c>
      <c r="AC69" s="118">
        <f>J69*Navires!$I$2</f>
        <v>0</v>
      </c>
      <c r="AD69" s="118">
        <f>K69*Navires!$J$2</f>
        <v>0</v>
      </c>
      <c r="AE69" s="118">
        <f>L69*Navires!$K$2</f>
        <v>0</v>
      </c>
      <c r="AF69" s="118">
        <f>M69*Navires!$L$2</f>
        <v>0</v>
      </c>
      <c r="AG69" s="118">
        <f>N69*Navires!$M$2</f>
        <v>0</v>
      </c>
      <c r="AH69" s="118">
        <f>O69*Navires!$N$2</f>
        <v>0</v>
      </c>
      <c r="AI69" s="118">
        <f>P69*Navires!$O$2</f>
        <v>0</v>
      </c>
      <c r="AJ69" s="118">
        <f>Q69*Navires!$P$2</f>
        <v>0</v>
      </c>
      <c r="AK69" s="35">
        <f>(SUM(V69:AJ69))*Générale!$B$8</f>
        <v>0</v>
      </c>
    </row>
    <row r="70" spans="1:37" s="117" customFormat="1" x14ac:dyDescent="0.25"/>
    <row r="71" spans="1:37" s="117" customFormat="1" x14ac:dyDescent="0.25">
      <c r="B71" s="117" t="s">
        <v>154</v>
      </c>
    </row>
    <row r="72" spans="1:37" s="117" customFormat="1" ht="23.25" customHeight="1" x14ac:dyDescent="0.25">
      <c r="C72" s="215" t="s">
        <v>61</v>
      </c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V72" s="215" t="s">
        <v>62</v>
      </c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7"/>
    </row>
    <row r="73" spans="1:37" s="117" customFormat="1" ht="23.25" customHeight="1" x14ac:dyDescent="0.25"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8"/>
    </row>
    <row r="74" spans="1:37" s="117" customFormat="1" ht="45" x14ac:dyDescent="0.25">
      <c r="C74" s="24" t="s">
        <v>21</v>
      </c>
      <c r="D74" s="24" t="s">
        <v>22</v>
      </c>
      <c r="E74" s="23" t="s">
        <v>23</v>
      </c>
      <c r="F74" s="24" t="s">
        <v>24</v>
      </c>
      <c r="G74" s="24" t="s">
        <v>25</v>
      </c>
      <c r="H74" s="24" t="s">
        <v>26</v>
      </c>
      <c r="I74" s="25" t="s">
        <v>30</v>
      </c>
      <c r="J74" s="25" t="s">
        <v>33</v>
      </c>
      <c r="K74" s="25" t="s">
        <v>65</v>
      </c>
      <c r="L74" s="25" t="s">
        <v>31</v>
      </c>
      <c r="M74" s="25" t="s">
        <v>32</v>
      </c>
      <c r="N74" s="25" t="s">
        <v>29</v>
      </c>
      <c r="O74" s="25" t="s">
        <v>28</v>
      </c>
      <c r="P74" s="24" t="s">
        <v>27</v>
      </c>
      <c r="Q74" s="31" t="s">
        <v>34</v>
      </c>
      <c r="R74" s="33" t="s">
        <v>60</v>
      </c>
      <c r="S74" s="87"/>
      <c r="V74" s="24" t="s">
        <v>21</v>
      </c>
      <c r="W74" s="24" t="s">
        <v>22</v>
      </c>
      <c r="X74" s="24" t="s">
        <v>23</v>
      </c>
      <c r="Y74" s="24" t="s">
        <v>24</v>
      </c>
      <c r="Z74" s="24" t="s">
        <v>25</v>
      </c>
      <c r="AA74" s="24" t="s">
        <v>26</v>
      </c>
      <c r="AB74" s="25" t="s">
        <v>30</v>
      </c>
      <c r="AC74" s="25" t="s">
        <v>33</v>
      </c>
      <c r="AD74" s="25" t="s">
        <v>26</v>
      </c>
      <c r="AE74" s="25" t="s">
        <v>31</v>
      </c>
      <c r="AF74" s="25" t="s">
        <v>32</v>
      </c>
      <c r="AG74" s="25" t="s">
        <v>29</v>
      </c>
      <c r="AH74" s="25" t="s">
        <v>28</v>
      </c>
      <c r="AI74" s="24" t="s">
        <v>27</v>
      </c>
      <c r="AJ74" s="25" t="s">
        <v>34</v>
      </c>
      <c r="AK74" s="33" t="s">
        <v>60</v>
      </c>
    </row>
    <row r="75" spans="1:37" s="117" customFormat="1" x14ac:dyDescent="0.25">
      <c r="A75" s="117">
        <v>24</v>
      </c>
      <c r="B75" s="118" t="s">
        <v>147</v>
      </c>
      <c r="C75" s="118"/>
      <c r="D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32"/>
      <c r="R75" s="34">
        <f t="shared" ref="R75:R76" si="14">SUM(C75:Q75)</f>
        <v>0</v>
      </c>
      <c r="S75" s="135"/>
      <c r="U75" s="118" t="s">
        <v>147</v>
      </c>
      <c r="V75" s="118">
        <f>C75*Navires!$B$2</f>
        <v>0</v>
      </c>
      <c r="W75" s="118">
        <f>D75*Navires!$C$2</f>
        <v>0</v>
      </c>
      <c r="X75" s="118">
        <f>E75*Navires!$D$2</f>
        <v>0</v>
      </c>
      <c r="Y75" s="118">
        <f>F75*Navires!$E$2</f>
        <v>0</v>
      </c>
      <c r="Z75" s="118">
        <f>G75*Navires!$F$2</f>
        <v>0</v>
      </c>
      <c r="AA75" s="118">
        <f>H75*Navires!$G$2</f>
        <v>0</v>
      </c>
      <c r="AB75" s="118">
        <f>I75*Navires!$H$2</f>
        <v>0</v>
      </c>
      <c r="AC75" s="118">
        <f>J75*Navires!$I$2</f>
        <v>0</v>
      </c>
      <c r="AD75" s="118">
        <f>K75*Navires!$J$2</f>
        <v>0</v>
      </c>
      <c r="AE75" s="118">
        <f>L75*Navires!$K$2</f>
        <v>0</v>
      </c>
      <c r="AF75" s="118">
        <f>M75*Navires!$L$2</f>
        <v>0</v>
      </c>
      <c r="AG75" s="118">
        <f>N75*Navires!$M$2</f>
        <v>0</v>
      </c>
      <c r="AH75" s="118">
        <f>O75*Navires!$N$2</f>
        <v>0</v>
      </c>
      <c r="AI75" s="118">
        <f>P75*Navires!$O$2</f>
        <v>0</v>
      </c>
      <c r="AJ75" s="118">
        <f>Q75*Navires!$P$2</f>
        <v>0</v>
      </c>
      <c r="AK75" s="35">
        <f>(SUM(V75:AJ75))*Générale!$B$13</f>
        <v>0</v>
      </c>
    </row>
    <row r="76" spans="1:37" s="117" customFormat="1" x14ac:dyDescent="0.25">
      <c r="A76" s="117">
        <v>25</v>
      </c>
      <c r="B76" s="118" t="s">
        <v>148</v>
      </c>
      <c r="C76" s="118"/>
      <c r="D76" s="118"/>
      <c r="E76" s="118"/>
      <c r="F76" s="118">
        <v>1</v>
      </c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32"/>
      <c r="R76" s="34">
        <f t="shared" si="14"/>
        <v>1</v>
      </c>
      <c r="S76" s="135"/>
      <c r="U76" s="118" t="s">
        <v>148</v>
      </c>
      <c r="V76" s="118">
        <f>C76*Navires!$B$2</f>
        <v>0</v>
      </c>
      <c r="W76" s="118">
        <f>D76*Navires!$C$2</f>
        <v>0</v>
      </c>
      <c r="X76" s="118">
        <f>E76*Navires!$D$2</f>
        <v>0</v>
      </c>
      <c r="Y76" s="118">
        <f>F76*Navires!$E$2</f>
        <v>1880</v>
      </c>
      <c r="Z76" s="118">
        <f>G76*Navires!$F$2</f>
        <v>0</v>
      </c>
      <c r="AA76" s="118">
        <f>H76*Navires!$G$2</f>
        <v>0</v>
      </c>
      <c r="AB76" s="118">
        <f>I76*Navires!$H$2</f>
        <v>0</v>
      </c>
      <c r="AC76" s="118">
        <f>J76*Navires!$I$2</f>
        <v>0</v>
      </c>
      <c r="AD76" s="118">
        <f>K76*Navires!$J$2</f>
        <v>0</v>
      </c>
      <c r="AE76" s="118">
        <f>L76*Navires!$K$2</f>
        <v>0</v>
      </c>
      <c r="AF76" s="118">
        <f>M76*Navires!$L$2</f>
        <v>0</v>
      </c>
      <c r="AG76" s="118">
        <f>N76*Navires!$M$2</f>
        <v>0</v>
      </c>
      <c r="AH76" s="118">
        <f>O76*Navires!$N$2</f>
        <v>0</v>
      </c>
      <c r="AI76" s="118">
        <f>P76*Navires!$O$2</f>
        <v>0</v>
      </c>
      <c r="AJ76" s="118">
        <f>Q76*Navires!$P$2</f>
        <v>0</v>
      </c>
      <c r="AK76" s="35">
        <f>(SUM(V76:AJ76))*Générale!$B$13</f>
        <v>1880</v>
      </c>
    </row>
    <row r="77" spans="1:37" s="117" customFormat="1" x14ac:dyDescent="0.25">
      <c r="A77" s="117">
        <v>26</v>
      </c>
      <c r="B77" s="118" t="s">
        <v>149</v>
      </c>
      <c r="C77" s="118"/>
      <c r="D77" s="118"/>
      <c r="E77" s="118"/>
      <c r="F77" s="118"/>
      <c r="G77" s="118">
        <v>1</v>
      </c>
      <c r="H77" s="118"/>
      <c r="I77" s="118"/>
      <c r="J77" s="118"/>
      <c r="K77" s="118"/>
      <c r="L77" s="118"/>
      <c r="M77" s="118"/>
      <c r="N77" s="118"/>
      <c r="O77" s="118"/>
      <c r="P77" s="118"/>
      <c r="Q77" s="32"/>
      <c r="R77" s="34">
        <f t="shared" ref="R77:R80" si="15">SUM(C77:Q77)</f>
        <v>1</v>
      </c>
      <c r="S77" s="135"/>
      <c r="U77" s="118" t="s">
        <v>149</v>
      </c>
      <c r="V77" s="118">
        <f>C77*Navires!$B$2</f>
        <v>0</v>
      </c>
      <c r="W77" s="118">
        <f>D77*Navires!$C$2</f>
        <v>0</v>
      </c>
      <c r="X77" s="118">
        <f>E77*Navires!$D$2</f>
        <v>0</v>
      </c>
      <c r="Y77" s="118">
        <f>F77*Navires!$E$2</f>
        <v>0</v>
      </c>
      <c r="Z77" s="118">
        <f>G77*Navires!$F$2</f>
        <v>1896</v>
      </c>
      <c r="AA77" s="118">
        <f>H77*Navires!$G$2</f>
        <v>0</v>
      </c>
      <c r="AB77" s="118">
        <f>I77*Navires!$H$2</f>
        <v>0</v>
      </c>
      <c r="AC77" s="118">
        <f>J77*Navires!$I$2</f>
        <v>0</v>
      </c>
      <c r="AD77" s="118">
        <f>K77*Navires!$J$2</f>
        <v>0</v>
      </c>
      <c r="AE77" s="118">
        <f>L77*Navires!$K$2</f>
        <v>0</v>
      </c>
      <c r="AF77" s="118">
        <f>M77*Navires!$L$2</f>
        <v>0</v>
      </c>
      <c r="AG77" s="118">
        <f>N77*Navires!$M$2</f>
        <v>0</v>
      </c>
      <c r="AH77" s="118">
        <f>O77*Navires!$N$2</f>
        <v>0</v>
      </c>
      <c r="AI77" s="118">
        <f>P77*Navires!$O$2</f>
        <v>0</v>
      </c>
      <c r="AJ77" s="118">
        <f>Q77*Navires!$P$2</f>
        <v>0</v>
      </c>
      <c r="AK77" s="35">
        <f>(SUM(V77:AJ77))*Générale!$B$13</f>
        <v>1896</v>
      </c>
    </row>
    <row r="78" spans="1:37" s="117" customFormat="1" x14ac:dyDescent="0.25">
      <c r="A78" s="117">
        <v>27</v>
      </c>
      <c r="B78" s="118" t="s">
        <v>150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32"/>
      <c r="R78" s="34">
        <f t="shared" si="15"/>
        <v>0</v>
      </c>
      <c r="S78" s="135"/>
      <c r="U78" s="118" t="s">
        <v>150</v>
      </c>
      <c r="V78" s="118">
        <f>C78*Navires!$B$2</f>
        <v>0</v>
      </c>
      <c r="W78" s="118">
        <f>D78*Navires!$C$2</f>
        <v>0</v>
      </c>
      <c r="X78" s="118">
        <f>E78*Navires!$D$2</f>
        <v>0</v>
      </c>
      <c r="Y78" s="118">
        <f>F78*Navires!$E$2</f>
        <v>0</v>
      </c>
      <c r="Z78" s="118">
        <f>G78*Navires!$F$2</f>
        <v>0</v>
      </c>
      <c r="AA78" s="118">
        <f>H78*Navires!$G$2</f>
        <v>0</v>
      </c>
      <c r="AB78" s="118">
        <f>I78*Navires!$H$2</f>
        <v>0</v>
      </c>
      <c r="AC78" s="118">
        <f>J78*Navires!$I$2</f>
        <v>0</v>
      </c>
      <c r="AD78" s="118">
        <f>K78*Navires!$J$2</f>
        <v>0</v>
      </c>
      <c r="AE78" s="118">
        <f>L78*Navires!$K$2</f>
        <v>0</v>
      </c>
      <c r="AF78" s="118">
        <f>M78*Navires!$L$2</f>
        <v>0</v>
      </c>
      <c r="AG78" s="118">
        <f>N78*Navires!$M$2</f>
        <v>0</v>
      </c>
      <c r="AH78" s="118">
        <f>O78*Navires!$N$2</f>
        <v>0</v>
      </c>
      <c r="AI78" s="118">
        <f>P78*Navires!$O$2</f>
        <v>0</v>
      </c>
      <c r="AJ78" s="118">
        <f>Q78*Navires!$P$2</f>
        <v>0</v>
      </c>
      <c r="AK78" s="35">
        <f>(SUM(V78:AJ78))*Générale!$B$13</f>
        <v>0</v>
      </c>
    </row>
    <row r="79" spans="1:37" s="117" customFormat="1" x14ac:dyDescent="0.25">
      <c r="A79" s="117">
        <v>28</v>
      </c>
      <c r="B79" s="118" t="s">
        <v>151</v>
      </c>
      <c r="C79" s="118"/>
      <c r="D79" s="118"/>
      <c r="E79" s="118"/>
      <c r="F79" s="118"/>
      <c r="G79" s="118"/>
      <c r="H79" s="118"/>
      <c r="I79" s="118">
        <v>1</v>
      </c>
      <c r="J79" s="118"/>
      <c r="K79" s="118"/>
      <c r="L79" s="118"/>
      <c r="M79" s="118"/>
      <c r="N79" s="118"/>
      <c r="O79" s="118"/>
      <c r="P79" s="118"/>
      <c r="Q79" s="32"/>
      <c r="R79" s="34">
        <f t="shared" si="15"/>
        <v>1</v>
      </c>
      <c r="S79" s="135"/>
      <c r="U79" s="118" t="s">
        <v>151</v>
      </c>
      <c r="V79" s="118">
        <f>C79*Navires!$B$2</f>
        <v>0</v>
      </c>
      <c r="W79" s="118">
        <f>D79*Navires!$C$2</f>
        <v>0</v>
      </c>
      <c r="X79" s="118">
        <f>E79*Navires!$D$2</f>
        <v>0</v>
      </c>
      <c r="Y79" s="118">
        <f>F79*Navires!$E$2</f>
        <v>0</v>
      </c>
      <c r="Z79" s="118">
        <f>G79*Navires!$F$2</f>
        <v>0</v>
      </c>
      <c r="AA79" s="118">
        <f>H79*Navires!$G$2</f>
        <v>0</v>
      </c>
      <c r="AB79" s="118">
        <f>I79*Navires!$H$2</f>
        <v>2000</v>
      </c>
      <c r="AC79" s="118">
        <f>J79*Navires!$I$2</f>
        <v>0</v>
      </c>
      <c r="AD79" s="118">
        <f>K79*Navires!$J$2</f>
        <v>0</v>
      </c>
      <c r="AE79" s="118">
        <f>L79*Navires!$K$2</f>
        <v>0</v>
      </c>
      <c r="AF79" s="118">
        <f>M79*Navires!$L$2</f>
        <v>0</v>
      </c>
      <c r="AG79" s="118">
        <f>N79*Navires!$M$2</f>
        <v>0</v>
      </c>
      <c r="AH79" s="118">
        <f>O79*Navires!$N$2</f>
        <v>0</v>
      </c>
      <c r="AI79" s="118">
        <f>P79*Navires!$O$2</f>
        <v>0</v>
      </c>
      <c r="AJ79" s="118">
        <f>Q79*Navires!$P$2</f>
        <v>0</v>
      </c>
      <c r="AK79" s="35">
        <f>(SUM(V79:AJ79))*Générale!$B$13</f>
        <v>2000</v>
      </c>
    </row>
    <row r="80" spans="1:37" s="117" customFormat="1" x14ac:dyDescent="0.25">
      <c r="A80" s="117">
        <v>29</v>
      </c>
      <c r="B80" s="118" t="s">
        <v>152</v>
      </c>
      <c r="C80" s="118"/>
      <c r="D80" s="118"/>
      <c r="E80" s="118"/>
      <c r="F80" s="118"/>
      <c r="G80" s="118">
        <v>1</v>
      </c>
      <c r="H80" s="118"/>
      <c r="I80" s="118"/>
      <c r="J80" s="118"/>
      <c r="K80" s="118"/>
      <c r="L80" s="118"/>
      <c r="M80" s="118"/>
      <c r="N80" s="118"/>
      <c r="O80" s="118"/>
      <c r="P80" s="118"/>
      <c r="Q80" s="32"/>
      <c r="R80" s="34">
        <f t="shared" si="15"/>
        <v>1</v>
      </c>
      <c r="S80" s="135"/>
      <c r="U80" s="118" t="s">
        <v>152</v>
      </c>
      <c r="V80" s="118">
        <f>C80*Navires!$B$2</f>
        <v>0</v>
      </c>
      <c r="W80" s="118">
        <f>D80*Navires!$C$2</f>
        <v>0</v>
      </c>
      <c r="X80" s="118">
        <f>E80*Navires!$D$2</f>
        <v>0</v>
      </c>
      <c r="Y80" s="118">
        <f>F80*Navires!$E$2</f>
        <v>0</v>
      </c>
      <c r="Z80" s="118">
        <f>G80*Navires!$F$2</f>
        <v>1896</v>
      </c>
      <c r="AA80" s="118">
        <f>H80*Navires!$G$2</f>
        <v>0</v>
      </c>
      <c r="AB80" s="118">
        <f>I80*Navires!$H$2</f>
        <v>0</v>
      </c>
      <c r="AC80" s="118">
        <f>J80*Navires!$I$2</f>
        <v>0</v>
      </c>
      <c r="AD80" s="118">
        <f>K80*Navires!$J$2</f>
        <v>0</v>
      </c>
      <c r="AE80" s="118">
        <f>L80*Navires!$K$2</f>
        <v>0</v>
      </c>
      <c r="AF80" s="118">
        <f>M80*Navires!$L$2</f>
        <v>0</v>
      </c>
      <c r="AG80" s="118">
        <f>N80*Navires!$M$2</f>
        <v>0</v>
      </c>
      <c r="AH80" s="118">
        <f>O80*Navires!$N$2</f>
        <v>0</v>
      </c>
      <c r="AI80" s="118">
        <f>P80*Navires!$O$2</f>
        <v>0</v>
      </c>
      <c r="AJ80" s="118">
        <f>Q80*Navires!$P$2</f>
        <v>0</v>
      </c>
      <c r="AK80" s="35">
        <f>(SUM(V80:AJ80))*Générale!$B$13</f>
        <v>1896</v>
      </c>
    </row>
    <row r="81" spans="1:37" s="117" customFormat="1" ht="15" customHeight="1" x14ac:dyDescent="0.25">
      <c r="A81" s="117">
        <v>30</v>
      </c>
      <c r="B81" s="118" t="s">
        <v>146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32"/>
      <c r="R81" s="34">
        <f>SUM(C81:Q81)</f>
        <v>0</v>
      </c>
      <c r="S81" s="135"/>
      <c r="U81" s="118" t="s">
        <v>146</v>
      </c>
      <c r="V81" s="118">
        <f>C81*Navires!$B$2</f>
        <v>0</v>
      </c>
      <c r="W81" s="118">
        <f>D81*Navires!$C$2</f>
        <v>0</v>
      </c>
      <c r="X81" s="118">
        <f>E81*Navires!$D$2</f>
        <v>0</v>
      </c>
      <c r="Y81" s="118">
        <f>F81*Navires!$E$2</f>
        <v>0</v>
      </c>
      <c r="Z81" s="118">
        <f>G81*Navires!$F$2</f>
        <v>0</v>
      </c>
      <c r="AA81" s="118">
        <f>H81*Navires!$G$2</f>
        <v>0</v>
      </c>
      <c r="AB81" s="118">
        <f>I81*Navires!$H$2</f>
        <v>0</v>
      </c>
      <c r="AC81" s="118">
        <f>J81*Navires!$I$2</f>
        <v>0</v>
      </c>
      <c r="AD81" s="118">
        <f>K81*Navires!$J$2</f>
        <v>0</v>
      </c>
      <c r="AE81" s="118">
        <f>L81*Navires!$K$2</f>
        <v>0</v>
      </c>
      <c r="AF81" s="118">
        <f>M81*Navires!$L$2</f>
        <v>0</v>
      </c>
      <c r="AG81" s="118">
        <f>N81*Navires!$M$2</f>
        <v>0</v>
      </c>
      <c r="AH81" s="118">
        <f>O81*Navires!$N$2</f>
        <v>0</v>
      </c>
      <c r="AI81" s="118">
        <f>P81*Navires!$O$2</f>
        <v>0</v>
      </c>
      <c r="AJ81" s="118">
        <f>Q81*Navires!$P$2</f>
        <v>0</v>
      </c>
      <c r="AK81" s="35">
        <f>(SUM(V81:AJ81))*Générale!$B$13</f>
        <v>0</v>
      </c>
    </row>
    <row r="82" spans="1:37" s="117" customFormat="1" ht="15" customHeight="1" x14ac:dyDescent="0.25">
      <c r="C82" s="215" t="s">
        <v>63</v>
      </c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U82" s="217" t="s">
        <v>64</v>
      </c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</row>
    <row r="83" spans="1:37" s="117" customFormat="1" ht="26.25" customHeight="1" x14ac:dyDescent="0.25"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</row>
    <row r="84" spans="1:37" s="117" customFormat="1" ht="45" x14ac:dyDescent="0.25">
      <c r="C84" s="24" t="s">
        <v>21</v>
      </c>
      <c r="D84" s="24" t="s">
        <v>22</v>
      </c>
      <c r="E84" s="23" t="s">
        <v>23</v>
      </c>
      <c r="F84" s="24" t="s">
        <v>24</v>
      </c>
      <c r="G84" s="24" t="s">
        <v>25</v>
      </c>
      <c r="H84" s="24" t="s">
        <v>26</v>
      </c>
      <c r="I84" s="25" t="s">
        <v>30</v>
      </c>
      <c r="J84" s="25" t="s">
        <v>33</v>
      </c>
      <c r="K84" s="25" t="s">
        <v>65</v>
      </c>
      <c r="L84" s="25" t="s">
        <v>31</v>
      </c>
      <c r="M84" s="25" t="s">
        <v>32</v>
      </c>
      <c r="N84" s="25" t="s">
        <v>29</v>
      </c>
      <c r="O84" s="25" t="s">
        <v>28</v>
      </c>
      <c r="P84" s="24" t="s">
        <v>27</v>
      </c>
      <c r="Q84" s="31" t="s">
        <v>34</v>
      </c>
      <c r="R84" s="33" t="s">
        <v>60</v>
      </c>
      <c r="U84" s="118"/>
      <c r="V84" s="23" t="s">
        <v>21</v>
      </c>
      <c r="W84" s="23" t="s">
        <v>22</v>
      </c>
      <c r="X84" s="23" t="s">
        <v>23</v>
      </c>
      <c r="Y84" s="23" t="s">
        <v>24</v>
      </c>
      <c r="Z84" s="23" t="s">
        <v>25</v>
      </c>
      <c r="AA84" s="23" t="s">
        <v>26</v>
      </c>
      <c r="AB84" s="23" t="s">
        <v>30</v>
      </c>
      <c r="AC84" s="23" t="s">
        <v>33</v>
      </c>
      <c r="AD84" s="23" t="s">
        <v>26</v>
      </c>
      <c r="AE84" s="23" t="s">
        <v>31</v>
      </c>
      <c r="AF84" s="23" t="s">
        <v>32</v>
      </c>
      <c r="AG84" s="23" t="s">
        <v>29</v>
      </c>
      <c r="AH84" s="23" t="s">
        <v>28</v>
      </c>
      <c r="AI84" s="23" t="s">
        <v>27</v>
      </c>
      <c r="AJ84" s="23" t="s">
        <v>34</v>
      </c>
      <c r="AK84" s="37" t="s">
        <v>60</v>
      </c>
    </row>
    <row r="85" spans="1:37" s="117" customFormat="1" x14ac:dyDescent="0.25">
      <c r="A85" s="117">
        <v>24</v>
      </c>
      <c r="B85" s="118" t="s">
        <v>147</v>
      </c>
      <c r="C85" s="118"/>
      <c r="D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32"/>
      <c r="R85" s="34">
        <f t="shared" ref="R85:R86" si="16">SUM(C85:Q85)</f>
        <v>0</v>
      </c>
      <c r="U85" s="118" t="s">
        <v>147</v>
      </c>
      <c r="V85" s="118">
        <f>C85*Navires!$B$2</f>
        <v>0</v>
      </c>
      <c r="W85" s="118">
        <f>D85*Navires!$C$2</f>
        <v>0</v>
      </c>
      <c r="X85" s="118">
        <f>E85*Navires!$D$2</f>
        <v>0</v>
      </c>
      <c r="Y85" s="118">
        <f>F85*Navires!$E$2</f>
        <v>0</v>
      </c>
      <c r="Z85" s="118">
        <f>G85*Navires!$F$2</f>
        <v>0</v>
      </c>
      <c r="AA85" s="118">
        <f>H85*Navires!$G$2</f>
        <v>0</v>
      </c>
      <c r="AB85" s="118">
        <f>I85*Navires!$H$2</f>
        <v>0</v>
      </c>
      <c r="AC85" s="118">
        <f>J85*Navires!$I$2</f>
        <v>0</v>
      </c>
      <c r="AD85" s="118">
        <f>K85*Navires!$J$2</f>
        <v>0</v>
      </c>
      <c r="AE85" s="118">
        <f>L85*Navires!$K$2</f>
        <v>0</v>
      </c>
      <c r="AF85" s="118">
        <f>M85*Navires!$L$2</f>
        <v>0</v>
      </c>
      <c r="AG85" s="118">
        <f>N85*Navires!$M$2</f>
        <v>0</v>
      </c>
      <c r="AH85" s="118">
        <f>O85*Navires!$N$2</f>
        <v>0</v>
      </c>
      <c r="AI85" s="118">
        <f>P85*Navires!$O$2</f>
        <v>0</v>
      </c>
      <c r="AJ85" s="118">
        <f>Q85*Navires!$P$2</f>
        <v>0</v>
      </c>
      <c r="AK85" s="35">
        <f>(SUM(V85:AJ85))*Générale!$B$13</f>
        <v>0</v>
      </c>
    </row>
    <row r="86" spans="1:37" s="117" customFormat="1" x14ac:dyDescent="0.25">
      <c r="A86" s="117">
        <v>25</v>
      </c>
      <c r="B86" s="118" t="s">
        <v>148</v>
      </c>
      <c r="C86" s="118"/>
      <c r="D86" s="118"/>
      <c r="E86" s="118"/>
      <c r="F86" s="118">
        <v>1</v>
      </c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32"/>
      <c r="R86" s="34">
        <f t="shared" si="16"/>
        <v>1</v>
      </c>
      <c r="U86" s="118" t="s">
        <v>148</v>
      </c>
      <c r="V86" s="118">
        <f>C86*Navires!$B$2</f>
        <v>0</v>
      </c>
      <c r="W86" s="118">
        <f>D86*Navires!$C$2</f>
        <v>0</v>
      </c>
      <c r="X86" s="118">
        <f>E86*Navires!$D$2</f>
        <v>0</v>
      </c>
      <c r="Y86" s="118">
        <f>F86*Navires!$E$2</f>
        <v>1880</v>
      </c>
      <c r="Z86" s="118">
        <f>G86*Navires!$F$2</f>
        <v>0</v>
      </c>
      <c r="AA86" s="118">
        <f>H86*Navires!$G$2</f>
        <v>0</v>
      </c>
      <c r="AB86" s="118">
        <f>I86*Navires!$H$2</f>
        <v>0</v>
      </c>
      <c r="AC86" s="118">
        <f>J86*Navires!$I$2</f>
        <v>0</v>
      </c>
      <c r="AD86" s="118">
        <f>K86*Navires!$J$2</f>
        <v>0</v>
      </c>
      <c r="AE86" s="118">
        <f>L86*Navires!$K$2</f>
        <v>0</v>
      </c>
      <c r="AF86" s="118">
        <f>M86*Navires!$L$2</f>
        <v>0</v>
      </c>
      <c r="AG86" s="118">
        <f>N86*Navires!$M$2</f>
        <v>0</v>
      </c>
      <c r="AH86" s="118">
        <f>O86*Navires!$N$2</f>
        <v>0</v>
      </c>
      <c r="AI86" s="118">
        <f>P86*Navires!$O$2</f>
        <v>0</v>
      </c>
      <c r="AJ86" s="118">
        <f>Q86*Navires!$P$2</f>
        <v>0</v>
      </c>
      <c r="AK86" s="35">
        <f>(SUM(V86:AJ86))*Générale!$B$13</f>
        <v>1880</v>
      </c>
    </row>
    <row r="87" spans="1:37" s="117" customFormat="1" x14ac:dyDescent="0.25">
      <c r="A87" s="117">
        <v>26</v>
      </c>
      <c r="B87" s="118" t="s">
        <v>149</v>
      </c>
      <c r="C87" s="118"/>
      <c r="D87" s="118"/>
      <c r="F87" s="118"/>
      <c r="G87" s="118">
        <v>1</v>
      </c>
      <c r="H87" s="118"/>
      <c r="I87" s="118"/>
      <c r="J87" s="118"/>
      <c r="K87" s="118"/>
      <c r="L87" s="118"/>
      <c r="M87" s="118"/>
      <c r="N87" s="118"/>
      <c r="O87" s="118"/>
      <c r="P87" s="118"/>
      <c r="Q87" s="32"/>
      <c r="R87" s="34">
        <f t="shared" ref="R87:R90" si="17">SUM(C87:Q87)</f>
        <v>1</v>
      </c>
      <c r="U87" s="118" t="s">
        <v>149</v>
      </c>
      <c r="V87" s="118">
        <f>C87*Navires!$B$2</f>
        <v>0</v>
      </c>
      <c r="W87" s="118">
        <f>D87*Navires!$C$2</f>
        <v>0</v>
      </c>
      <c r="X87" s="118">
        <f>E87*Navires!$D$2</f>
        <v>0</v>
      </c>
      <c r="Y87" s="118">
        <f>F87*Navires!$E$2</f>
        <v>0</v>
      </c>
      <c r="Z87" s="118">
        <f>G87*Navires!$F$2</f>
        <v>1896</v>
      </c>
      <c r="AA87" s="118">
        <f>H87*Navires!$G$2</f>
        <v>0</v>
      </c>
      <c r="AB87" s="118">
        <f>I87*Navires!$H$2</f>
        <v>0</v>
      </c>
      <c r="AC87" s="118">
        <f>J87*Navires!$I$2</f>
        <v>0</v>
      </c>
      <c r="AD87" s="118">
        <f>K87*Navires!$J$2</f>
        <v>0</v>
      </c>
      <c r="AE87" s="118">
        <f>L87*Navires!$K$2</f>
        <v>0</v>
      </c>
      <c r="AF87" s="118">
        <f>M87*Navires!$L$2</f>
        <v>0</v>
      </c>
      <c r="AG87" s="118">
        <f>N87*Navires!$M$2</f>
        <v>0</v>
      </c>
      <c r="AH87" s="118">
        <f>O87*Navires!$N$2</f>
        <v>0</v>
      </c>
      <c r="AI87" s="118">
        <f>P87*Navires!$O$2</f>
        <v>0</v>
      </c>
      <c r="AJ87" s="118">
        <f>Q87*Navires!$P$2</f>
        <v>0</v>
      </c>
      <c r="AK87" s="35">
        <f>(SUM(V87:AJ87))*Générale!$B$13</f>
        <v>1896</v>
      </c>
    </row>
    <row r="88" spans="1:37" s="117" customFormat="1" x14ac:dyDescent="0.25">
      <c r="A88" s="117">
        <v>27</v>
      </c>
      <c r="B88" s="118" t="s">
        <v>150</v>
      </c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32"/>
      <c r="R88" s="34">
        <f t="shared" si="17"/>
        <v>0</v>
      </c>
      <c r="U88" s="118" t="s">
        <v>150</v>
      </c>
      <c r="V88" s="118">
        <f>C88*Navires!$B$2</f>
        <v>0</v>
      </c>
      <c r="W88" s="118">
        <f>D88*Navires!$C$2</f>
        <v>0</v>
      </c>
      <c r="X88" s="118">
        <f>E88*Navires!$D$2</f>
        <v>0</v>
      </c>
      <c r="Y88" s="118">
        <f>F88*Navires!$E$2</f>
        <v>0</v>
      </c>
      <c r="Z88" s="118">
        <f>G88*Navires!$F$2</f>
        <v>0</v>
      </c>
      <c r="AA88" s="118">
        <f>H88*Navires!$G$2</f>
        <v>0</v>
      </c>
      <c r="AB88" s="118">
        <f>I88*Navires!$H$2</f>
        <v>0</v>
      </c>
      <c r="AC88" s="118">
        <f>J88*Navires!$I$2</f>
        <v>0</v>
      </c>
      <c r="AD88" s="118">
        <f>K88*Navires!$J$2</f>
        <v>0</v>
      </c>
      <c r="AE88" s="118">
        <f>L88*Navires!$K$2</f>
        <v>0</v>
      </c>
      <c r="AF88" s="118">
        <f>M88*Navires!$L$2</f>
        <v>0</v>
      </c>
      <c r="AG88" s="118">
        <f>N88*Navires!$M$2</f>
        <v>0</v>
      </c>
      <c r="AH88" s="118">
        <f>O88*Navires!$N$2</f>
        <v>0</v>
      </c>
      <c r="AI88" s="118">
        <f>P88*Navires!$O$2</f>
        <v>0</v>
      </c>
      <c r="AJ88" s="118">
        <f>Q88*Navires!$P$2</f>
        <v>0</v>
      </c>
      <c r="AK88" s="35">
        <f>(SUM(V88:AJ88))*Générale!$B$13</f>
        <v>0</v>
      </c>
    </row>
    <row r="89" spans="1:37" s="117" customFormat="1" x14ac:dyDescent="0.25">
      <c r="A89" s="117">
        <v>28</v>
      </c>
      <c r="B89" s="118" t="s">
        <v>151</v>
      </c>
      <c r="C89" s="118"/>
      <c r="D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32"/>
      <c r="R89" s="34">
        <f t="shared" si="17"/>
        <v>0</v>
      </c>
      <c r="U89" s="118" t="s">
        <v>151</v>
      </c>
      <c r="V89" s="118">
        <f>C89*Navires!$B$2</f>
        <v>0</v>
      </c>
      <c r="W89" s="118">
        <f>D89*Navires!$C$2</f>
        <v>0</v>
      </c>
      <c r="X89" s="118">
        <f>E89*Navires!$D$2</f>
        <v>0</v>
      </c>
      <c r="Y89" s="118">
        <f>F89*Navires!$E$2</f>
        <v>0</v>
      </c>
      <c r="Z89" s="118">
        <f>G89*Navires!$F$2</f>
        <v>0</v>
      </c>
      <c r="AA89" s="118">
        <f>H89*Navires!$G$2</f>
        <v>0</v>
      </c>
      <c r="AB89" s="118">
        <f>I89*Navires!$H$2</f>
        <v>0</v>
      </c>
      <c r="AC89" s="118">
        <f>J89*Navires!$I$2</f>
        <v>0</v>
      </c>
      <c r="AD89" s="118">
        <f>K89*Navires!$J$2</f>
        <v>0</v>
      </c>
      <c r="AE89" s="118">
        <f>L89*Navires!$K$2</f>
        <v>0</v>
      </c>
      <c r="AF89" s="118">
        <f>M89*Navires!$L$2</f>
        <v>0</v>
      </c>
      <c r="AG89" s="118">
        <f>N89*Navires!$M$2</f>
        <v>0</v>
      </c>
      <c r="AH89" s="118">
        <f>O89*Navires!$N$2</f>
        <v>0</v>
      </c>
      <c r="AI89" s="118">
        <f>P89*Navires!$O$2</f>
        <v>0</v>
      </c>
      <c r="AJ89" s="118">
        <f>Q89*Navires!$P$2</f>
        <v>0</v>
      </c>
      <c r="AK89" s="35">
        <f>(SUM(V89:AJ89))*Générale!$B$13</f>
        <v>0</v>
      </c>
    </row>
    <row r="90" spans="1:37" s="117" customFormat="1" x14ac:dyDescent="0.25">
      <c r="A90" s="117">
        <v>29</v>
      </c>
      <c r="B90" s="118" t="s">
        <v>152</v>
      </c>
      <c r="C90" s="118"/>
      <c r="D90" s="118"/>
      <c r="E90" s="118"/>
      <c r="F90" s="118"/>
      <c r="G90" s="118">
        <v>1</v>
      </c>
      <c r="H90" s="118"/>
      <c r="I90" s="118"/>
      <c r="J90" s="118"/>
      <c r="K90" s="118"/>
      <c r="L90" s="118"/>
      <c r="M90" s="118"/>
      <c r="N90" s="118"/>
      <c r="O90" s="118"/>
      <c r="P90" s="118"/>
      <c r="Q90" s="32"/>
      <c r="R90" s="34">
        <f t="shared" si="17"/>
        <v>1</v>
      </c>
      <c r="U90" s="118" t="s">
        <v>152</v>
      </c>
      <c r="V90" s="118">
        <f>C90*Navires!$B$2</f>
        <v>0</v>
      </c>
      <c r="W90" s="118">
        <f>D90*Navires!$C$2</f>
        <v>0</v>
      </c>
      <c r="X90" s="118">
        <f>E90*Navires!$D$2</f>
        <v>0</v>
      </c>
      <c r="Y90" s="118">
        <f>F90*Navires!$E$2</f>
        <v>0</v>
      </c>
      <c r="Z90" s="118">
        <f>G90*Navires!$F$2</f>
        <v>1896</v>
      </c>
      <c r="AA90" s="118">
        <f>H90*Navires!$G$2</f>
        <v>0</v>
      </c>
      <c r="AB90" s="118">
        <f>I90*Navires!$H$2</f>
        <v>0</v>
      </c>
      <c r="AC90" s="118">
        <f>J90*Navires!$I$2</f>
        <v>0</v>
      </c>
      <c r="AD90" s="118">
        <f>K90*Navires!$J$2</f>
        <v>0</v>
      </c>
      <c r="AE90" s="118">
        <f>L90*Navires!$K$2</f>
        <v>0</v>
      </c>
      <c r="AF90" s="118">
        <f>M90*Navires!$L$2</f>
        <v>0</v>
      </c>
      <c r="AG90" s="118">
        <f>N90*Navires!$M$2</f>
        <v>0</v>
      </c>
      <c r="AH90" s="118">
        <f>O90*Navires!$N$2</f>
        <v>0</v>
      </c>
      <c r="AI90" s="118">
        <f>P90*Navires!$O$2</f>
        <v>0</v>
      </c>
      <c r="AJ90" s="118">
        <f>Q90*Navires!$P$2</f>
        <v>0</v>
      </c>
      <c r="AK90" s="35">
        <f>(SUM(V90:AJ90))*Générale!$B$13</f>
        <v>1896</v>
      </c>
    </row>
    <row r="91" spans="1:37" s="117" customFormat="1" x14ac:dyDescent="0.25">
      <c r="A91" s="117">
        <v>30</v>
      </c>
      <c r="B91" s="118" t="s">
        <v>146</v>
      </c>
      <c r="C91" s="118"/>
      <c r="D91" s="118"/>
      <c r="E91" s="118"/>
      <c r="F91" s="118"/>
      <c r="G91" s="118"/>
      <c r="H91" s="118"/>
      <c r="I91" s="118">
        <v>1</v>
      </c>
      <c r="J91" s="118"/>
      <c r="K91" s="118"/>
      <c r="L91" s="118"/>
      <c r="M91" s="118"/>
      <c r="N91" s="118"/>
      <c r="O91" s="118"/>
      <c r="P91" s="118"/>
      <c r="Q91" s="32"/>
      <c r="R91" s="34">
        <f>SUM(C91:Q91)</f>
        <v>1</v>
      </c>
      <c r="U91" s="118" t="s">
        <v>146</v>
      </c>
      <c r="V91" s="118">
        <f>C91*Navires!$B$2</f>
        <v>0</v>
      </c>
      <c r="W91" s="118">
        <f>D91*Navires!$C$2</f>
        <v>0</v>
      </c>
      <c r="X91" s="118">
        <f>E91*Navires!$D$2</f>
        <v>0</v>
      </c>
      <c r="Y91" s="118">
        <f>F91*Navires!$E$2</f>
        <v>0</v>
      </c>
      <c r="Z91" s="118">
        <f>G91*Navires!$F$2</f>
        <v>0</v>
      </c>
      <c r="AA91" s="118">
        <f>H91*Navires!$G$2</f>
        <v>0</v>
      </c>
      <c r="AB91" s="118">
        <f>I91*Navires!$H$2</f>
        <v>2000</v>
      </c>
      <c r="AC91" s="118">
        <f>J91*Navires!$I$2</f>
        <v>0</v>
      </c>
      <c r="AD91" s="118">
        <f>K91*Navires!$J$2</f>
        <v>0</v>
      </c>
      <c r="AE91" s="118">
        <f>L91*Navires!$K$2</f>
        <v>0</v>
      </c>
      <c r="AF91" s="118">
        <f>M91*Navires!$L$2</f>
        <v>0</v>
      </c>
      <c r="AG91" s="118">
        <f>N91*Navires!$M$2</f>
        <v>0</v>
      </c>
      <c r="AH91" s="118">
        <f>O91*Navires!$N$2</f>
        <v>0</v>
      </c>
      <c r="AI91" s="118">
        <f>P91*Navires!$O$2</f>
        <v>0</v>
      </c>
      <c r="AJ91" s="118">
        <f>Q91*Navires!$P$2</f>
        <v>0</v>
      </c>
      <c r="AK91" s="35">
        <f>(SUM(V91:AJ91))*Générale!$B$13</f>
        <v>2000</v>
      </c>
    </row>
  </sheetData>
  <mergeCells count="16">
    <mergeCell ref="C72:Q73"/>
    <mergeCell ref="V72:AJ73"/>
    <mergeCell ref="C82:Q83"/>
    <mergeCell ref="U82:AK83"/>
    <mergeCell ref="BF1:BT2"/>
    <mergeCell ref="BE18:BU19"/>
    <mergeCell ref="C50:Q51"/>
    <mergeCell ref="V50:AJ51"/>
    <mergeCell ref="C60:Q61"/>
    <mergeCell ref="U60:AK61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1"/>
  <sheetViews>
    <sheetView topLeftCell="BF1" workbookViewId="0">
      <selection activeCell="BU1" sqref="BU1:BU1048576"/>
    </sheetView>
  </sheetViews>
  <sheetFormatPr baseColWidth="10" defaultRowHeight="15" x14ac:dyDescent="0.25"/>
  <cols>
    <col min="1" max="1" width="7" customWidth="1"/>
    <col min="37" max="37" width="11.42578125" style="117"/>
    <col min="39" max="73" width="11.42578125" style="117"/>
  </cols>
  <sheetData>
    <row r="1" spans="1:73" ht="23.25" customHeight="1" x14ac:dyDescent="0.25">
      <c r="C1" s="215" t="s">
        <v>61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V1" s="215" t="s">
        <v>62</v>
      </c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7"/>
      <c r="AN1" s="215" t="s">
        <v>159</v>
      </c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F1" s="215" t="s">
        <v>165</v>
      </c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</row>
    <row r="2" spans="1:73" ht="23.2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8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</row>
    <row r="3" spans="1:73" ht="45" x14ac:dyDescent="0.25"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4" t="s">
        <v>26</v>
      </c>
      <c r="I3" s="25" t="s">
        <v>30</v>
      </c>
      <c r="J3" s="25" t="s">
        <v>33</v>
      </c>
      <c r="K3" s="25" t="s">
        <v>66</v>
      </c>
      <c r="L3" s="25" t="s">
        <v>31</v>
      </c>
      <c r="M3" s="25" t="s">
        <v>32</v>
      </c>
      <c r="N3" s="25" t="s">
        <v>29</v>
      </c>
      <c r="O3" s="25" t="s">
        <v>28</v>
      </c>
      <c r="P3" s="24" t="s">
        <v>27</v>
      </c>
      <c r="Q3" s="31" t="s">
        <v>34</v>
      </c>
      <c r="R3" s="33" t="s">
        <v>60</v>
      </c>
      <c r="S3" s="87" t="s">
        <v>100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5" t="s">
        <v>30</v>
      </c>
      <c r="AC3" s="25" t="s">
        <v>33</v>
      </c>
      <c r="AD3" s="25" t="s">
        <v>26</v>
      </c>
      <c r="AE3" s="25" t="s">
        <v>31</v>
      </c>
      <c r="AF3" s="25" t="s">
        <v>32</v>
      </c>
      <c r="AG3" s="25" t="s">
        <v>29</v>
      </c>
      <c r="AH3" s="25" t="s">
        <v>28</v>
      </c>
      <c r="AI3" s="24" t="s">
        <v>27</v>
      </c>
      <c r="AJ3" s="25" t="s">
        <v>34</v>
      </c>
      <c r="AK3" s="33" t="s">
        <v>60</v>
      </c>
      <c r="AN3" s="24" t="s">
        <v>21</v>
      </c>
      <c r="AO3" s="24" t="s">
        <v>22</v>
      </c>
      <c r="AP3" s="24" t="s">
        <v>23</v>
      </c>
      <c r="AQ3" s="24" t="s">
        <v>24</v>
      </c>
      <c r="AR3" s="24" t="s">
        <v>25</v>
      </c>
      <c r="AS3" s="24" t="s">
        <v>26</v>
      </c>
      <c r="AT3" s="25" t="s">
        <v>30</v>
      </c>
      <c r="AU3" s="25" t="s">
        <v>33</v>
      </c>
      <c r="AV3" s="25" t="s">
        <v>26</v>
      </c>
      <c r="AW3" s="25" t="s">
        <v>31</v>
      </c>
      <c r="AX3" s="25" t="s">
        <v>32</v>
      </c>
      <c r="AY3" s="25" t="s">
        <v>29</v>
      </c>
      <c r="AZ3" s="25" t="s">
        <v>28</v>
      </c>
      <c r="BA3" s="24" t="s">
        <v>27</v>
      </c>
      <c r="BB3" s="25" t="s">
        <v>34</v>
      </c>
      <c r="BC3" s="33" t="s">
        <v>60</v>
      </c>
      <c r="BF3" s="24" t="s">
        <v>21</v>
      </c>
      <c r="BG3" s="24" t="s">
        <v>22</v>
      </c>
      <c r="BH3" s="24" t="s">
        <v>23</v>
      </c>
      <c r="BI3" s="24" t="s">
        <v>24</v>
      </c>
      <c r="BJ3" s="24" t="s">
        <v>25</v>
      </c>
      <c r="BK3" s="24" t="s">
        <v>26</v>
      </c>
      <c r="BL3" s="25" t="s">
        <v>30</v>
      </c>
      <c r="BM3" s="25" t="s">
        <v>33</v>
      </c>
      <c r="BN3" s="25" t="s">
        <v>26</v>
      </c>
      <c r="BO3" s="25" t="s">
        <v>31</v>
      </c>
      <c r="BP3" s="25" t="s">
        <v>32</v>
      </c>
      <c r="BQ3" s="25" t="s">
        <v>29</v>
      </c>
      <c r="BR3" s="25" t="s">
        <v>28</v>
      </c>
      <c r="BS3" s="24" t="s">
        <v>27</v>
      </c>
      <c r="BT3" s="25" t="s">
        <v>34</v>
      </c>
      <c r="BU3" s="33" t="s">
        <v>60</v>
      </c>
    </row>
    <row r="4" spans="1:73" ht="15" customHeight="1" x14ac:dyDescent="0.25">
      <c r="A4" t="s">
        <v>48</v>
      </c>
      <c r="B4" s="2" t="s">
        <v>36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/>
      <c r="K4" s="2"/>
      <c r="L4" s="2"/>
      <c r="M4" s="2"/>
      <c r="N4" s="2"/>
      <c r="O4" s="2"/>
      <c r="P4" s="2"/>
      <c r="Q4" s="32"/>
      <c r="R4" s="34">
        <f>SUM(C4:Q4)</f>
        <v>0</v>
      </c>
      <c r="S4" s="82">
        <f>R4/R36</f>
        <v>0</v>
      </c>
      <c r="U4" s="2" t="s">
        <v>36</v>
      </c>
      <c r="V4" s="2">
        <f>C4*Navires!$B$2</f>
        <v>0</v>
      </c>
      <c r="W4" s="2">
        <f>D4*Navires!$C$2</f>
        <v>0</v>
      </c>
      <c r="X4" s="2">
        <f>E4*Navires!$D$2</f>
        <v>0</v>
      </c>
      <c r="Y4" s="2">
        <f>F4*Navires!$E$2</f>
        <v>0</v>
      </c>
      <c r="Z4" s="2">
        <f>G4*Navires!$F$2</f>
        <v>0</v>
      </c>
      <c r="AA4" s="2">
        <f>H4*Navires!$G$2</f>
        <v>0</v>
      </c>
      <c r="AB4" s="2">
        <f>I4*Navires!$H$2</f>
        <v>0</v>
      </c>
      <c r="AC4" s="2">
        <f>J4*Navires!$I$2</f>
        <v>0</v>
      </c>
      <c r="AD4" s="2">
        <f>K4*Navires!$J$2</f>
        <v>0</v>
      </c>
      <c r="AE4" s="2">
        <f>L4*Navires!$K$2</f>
        <v>0</v>
      </c>
      <c r="AF4" s="2">
        <f>M4*Navires!$L$2</f>
        <v>0</v>
      </c>
      <c r="AG4" s="2">
        <f>N4*Navires!$M$2</f>
        <v>0</v>
      </c>
      <c r="AH4" s="2">
        <f>O4*Navires!$N$2</f>
        <v>0</v>
      </c>
      <c r="AI4" s="2">
        <f>P4*Navires!$O$2</f>
        <v>0</v>
      </c>
      <c r="AJ4" s="2">
        <f>Q4*Navires!$P$2</f>
        <v>0</v>
      </c>
      <c r="AK4" s="35">
        <f>(SUM(V4:AJ4))*Générale!$B7</f>
        <v>0</v>
      </c>
      <c r="AM4" s="118" t="s">
        <v>36</v>
      </c>
      <c r="AN4" s="118">
        <f>C4*Navires!$B$6</f>
        <v>0</v>
      </c>
      <c r="AO4" s="118">
        <f>D4*Navires!$C$6</f>
        <v>0</v>
      </c>
      <c r="AP4" s="118">
        <f>E4*Navires!$D$6</f>
        <v>0</v>
      </c>
      <c r="AQ4" s="118">
        <f>F4*Navires!$E$6</f>
        <v>0</v>
      </c>
      <c r="AR4" s="118">
        <f>G4*Navires!$F$6</f>
        <v>0</v>
      </c>
      <c r="AS4" s="118">
        <f>H4*Navires!$G$6</f>
        <v>0</v>
      </c>
      <c r="AT4" s="118">
        <f>I4*Navires!$H$6</f>
        <v>0</v>
      </c>
      <c r="AU4" s="118">
        <f>J4*Navires!$I$6</f>
        <v>0</v>
      </c>
      <c r="AV4" s="118">
        <f>K4*Navires!$J$6</f>
        <v>0</v>
      </c>
      <c r="AW4" s="118">
        <f>L4*Navires!$K$6</f>
        <v>0</v>
      </c>
      <c r="AX4" s="118">
        <f>M4*Navires!$L$6</f>
        <v>0</v>
      </c>
      <c r="AY4" s="118">
        <f>N4*Navires!$M$6</f>
        <v>0</v>
      </c>
      <c r="AZ4" s="118">
        <f>O4*Navires!$N$6</f>
        <v>0</v>
      </c>
      <c r="BA4" s="118">
        <f>P4*Navires!$O$6</f>
        <v>0</v>
      </c>
      <c r="BB4" s="118">
        <f>Q4*Navires!$P$6</f>
        <v>0</v>
      </c>
      <c r="BC4" s="185">
        <f>SUM(AN4:BB4)*Générale!$B$27</f>
        <v>0</v>
      </c>
      <c r="BE4" s="118" t="s">
        <v>36</v>
      </c>
      <c r="BF4" s="118">
        <f>C4*Navires!$B$6</f>
        <v>0</v>
      </c>
      <c r="BG4" s="118">
        <f>D4*Navires!$B$6</f>
        <v>0</v>
      </c>
      <c r="BH4" s="118">
        <f>E4*Navires!$B$6</f>
        <v>0</v>
      </c>
      <c r="BI4" s="118">
        <f>F4*Navires!$B$6</f>
        <v>0</v>
      </c>
      <c r="BJ4" s="118">
        <f>G4*Navires!$B$6</f>
        <v>0</v>
      </c>
      <c r="BK4" s="118">
        <f>H4*Navires!$B$6</f>
        <v>0</v>
      </c>
      <c r="BL4" s="118">
        <f>I4*Navires!$B$6</f>
        <v>0</v>
      </c>
      <c r="BM4" s="118">
        <f>J4*Navires!$B$6</f>
        <v>0</v>
      </c>
      <c r="BN4" s="118">
        <f>K4*Navires!$B$6</f>
        <v>0</v>
      </c>
      <c r="BO4" s="118">
        <f>L4*Navires!$B$6</f>
        <v>0</v>
      </c>
      <c r="BP4" s="118">
        <f>M4*Navires!$B$6</f>
        <v>0</v>
      </c>
      <c r="BQ4" s="118">
        <f>N4*Navires!$B$6</f>
        <v>0</v>
      </c>
      <c r="BR4" s="118">
        <f>O4*Navires!$B$6</f>
        <v>0</v>
      </c>
      <c r="BS4" s="118">
        <f>P4*Navires!$B$6</f>
        <v>0</v>
      </c>
      <c r="BT4" s="118">
        <f>Q4*Navires!$B$6</f>
        <v>0</v>
      </c>
      <c r="BU4" s="185">
        <f>SUM(BF4:BT4)*Générale!$B$23</f>
        <v>0</v>
      </c>
    </row>
    <row r="5" spans="1:73" x14ac:dyDescent="0.25">
      <c r="A5" t="s">
        <v>49</v>
      </c>
      <c r="B5" s="2" t="s">
        <v>37</v>
      </c>
      <c r="C5" s="2">
        <v>0</v>
      </c>
      <c r="D5" s="2">
        <v>0</v>
      </c>
      <c r="E5">
        <v>0</v>
      </c>
      <c r="F5" s="2">
        <v>0</v>
      </c>
      <c r="G5" s="2">
        <v>0</v>
      </c>
      <c r="H5" s="2">
        <v>0</v>
      </c>
      <c r="I5" s="2">
        <v>0</v>
      </c>
      <c r="J5" s="2"/>
      <c r="K5" s="2"/>
      <c r="L5" s="2"/>
      <c r="M5" s="2"/>
      <c r="N5" s="2"/>
      <c r="O5" s="2"/>
      <c r="P5" s="2"/>
      <c r="Q5" s="32"/>
      <c r="R5" s="34">
        <f t="shared" ref="R5:R16" si="0">SUM(C5:Q5)</f>
        <v>0</v>
      </c>
      <c r="S5" s="82">
        <f t="shared" ref="S5:S16" si="1">R5/R37</f>
        <v>0</v>
      </c>
      <c r="U5" s="2" t="s">
        <v>37</v>
      </c>
      <c r="V5" s="2">
        <f>C5*Navires!$B$2</f>
        <v>0</v>
      </c>
      <c r="W5" s="2">
        <f>D5*Navires!$C$2</f>
        <v>0</v>
      </c>
      <c r="X5" s="2">
        <f>E5*Navires!$D$2</f>
        <v>0</v>
      </c>
      <c r="Y5" s="2">
        <f>F5*Navires!$E$2</f>
        <v>0</v>
      </c>
      <c r="Z5" s="2">
        <f>G5*Navires!$F$2</f>
        <v>0</v>
      </c>
      <c r="AA5" s="2">
        <f>H5*Navires!$G$2</f>
        <v>0</v>
      </c>
      <c r="AB5" s="2">
        <f>I5*Navires!$H$2</f>
        <v>0</v>
      </c>
      <c r="AC5" s="2">
        <f>J5*Navires!$I$2</f>
        <v>0</v>
      </c>
      <c r="AD5" s="2">
        <f>K5*Navires!$J$2</f>
        <v>0</v>
      </c>
      <c r="AE5" s="2">
        <f>L5*Navires!$K$2</f>
        <v>0</v>
      </c>
      <c r="AF5" s="2">
        <f>M5*Navires!$L$2</f>
        <v>0</v>
      </c>
      <c r="AG5" s="2">
        <f>N5*Navires!$M$2</f>
        <v>0</v>
      </c>
      <c r="AH5" s="2">
        <f>O5*Navires!$N$2</f>
        <v>0</v>
      </c>
      <c r="AI5" s="2">
        <f>P5*Navires!$O$2</f>
        <v>0</v>
      </c>
      <c r="AJ5" s="2">
        <f>Q5*Navires!$P$2</f>
        <v>0</v>
      </c>
      <c r="AK5" s="35">
        <f>(SUM(V5:AJ5))*Générale!$B8</f>
        <v>0</v>
      </c>
      <c r="AM5" s="118" t="s">
        <v>37</v>
      </c>
      <c r="AN5" s="118">
        <f>C5*Navires!$B$6</f>
        <v>0</v>
      </c>
      <c r="AO5" s="118">
        <f>D5*Navires!$C$6</f>
        <v>0</v>
      </c>
      <c r="AP5" s="118">
        <f>E5*Navires!$D$6</f>
        <v>0</v>
      </c>
      <c r="AQ5" s="118">
        <f>F5*Navires!$E$6</f>
        <v>0</v>
      </c>
      <c r="AR5" s="118">
        <f>G5*Navires!$F$6</f>
        <v>0</v>
      </c>
      <c r="AS5" s="118">
        <f>H5*Navires!$G$6</f>
        <v>0</v>
      </c>
      <c r="AT5" s="118">
        <f>I5*Navires!$H$6</f>
        <v>0</v>
      </c>
      <c r="AU5" s="118">
        <f>J5*Navires!$I$6</f>
        <v>0</v>
      </c>
      <c r="AV5" s="118">
        <f>K5*Navires!$J$6</f>
        <v>0</v>
      </c>
      <c r="AW5" s="118">
        <f>L5*Navires!$K$6</f>
        <v>0</v>
      </c>
      <c r="AX5" s="118">
        <f>M5*Navires!$L$6</f>
        <v>0</v>
      </c>
      <c r="AY5" s="118">
        <f>N5*Navires!$M$6</f>
        <v>0</v>
      </c>
      <c r="AZ5" s="118">
        <f>O5*Navires!$N$6</f>
        <v>0</v>
      </c>
      <c r="BA5" s="118">
        <f>P5*Navires!$O$6</f>
        <v>0</v>
      </c>
      <c r="BB5" s="118">
        <f>Q5*Navires!$P$6</f>
        <v>0</v>
      </c>
      <c r="BC5" s="185">
        <f>SUM(AN5:BB5)*Générale!$B$27</f>
        <v>0</v>
      </c>
      <c r="BE5" s="118" t="s">
        <v>37</v>
      </c>
      <c r="BF5" s="118">
        <f>C5*Navires!$B$6</f>
        <v>0</v>
      </c>
      <c r="BG5" s="118">
        <f>D5*Navires!$B$6</f>
        <v>0</v>
      </c>
      <c r="BH5" s="118">
        <f>E5*Navires!$B$6</f>
        <v>0</v>
      </c>
      <c r="BI5" s="118">
        <f>F5*Navires!$B$6</f>
        <v>0</v>
      </c>
      <c r="BJ5" s="118">
        <f>G5*Navires!$B$6</f>
        <v>0</v>
      </c>
      <c r="BK5" s="118">
        <f>H5*Navires!$B$6</f>
        <v>0</v>
      </c>
      <c r="BL5" s="118">
        <f>I5*Navires!$B$6</f>
        <v>0</v>
      </c>
      <c r="BM5" s="118">
        <f>J5*Navires!$B$6</f>
        <v>0</v>
      </c>
      <c r="BN5" s="118">
        <f>K5*Navires!$B$6</f>
        <v>0</v>
      </c>
      <c r="BO5" s="118">
        <f>L5*Navires!$B$6</f>
        <v>0</v>
      </c>
      <c r="BP5" s="118">
        <f>M5*Navires!$B$6</f>
        <v>0</v>
      </c>
      <c r="BQ5" s="118">
        <f>N5*Navires!$B$6</f>
        <v>0</v>
      </c>
      <c r="BR5" s="118">
        <f>O5*Navires!$B$6</f>
        <v>0</v>
      </c>
      <c r="BS5" s="118">
        <f>P5*Navires!$B$6</f>
        <v>0</v>
      </c>
      <c r="BT5" s="118">
        <f>Q5*Navires!$B$6</f>
        <v>0</v>
      </c>
      <c r="BU5" s="185">
        <f>SUM(BF5:BT5)*Générale!$B$23</f>
        <v>0</v>
      </c>
    </row>
    <row r="6" spans="1:73" x14ac:dyDescent="0.25">
      <c r="A6" t="s">
        <v>50</v>
      </c>
      <c r="B6" s="2" t="s">
        <v>38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/>
      <c r="K6" s="2"/>
      <c r="L6" s="2"/>
      <c r="M6" s="2"/>
      <c r="N6" s="2"/>
      <c r="O6" s="2"/>
      <c r="P6" s="2"/>
      <c r="Q6" s="32"/>
      <c r="R6" s="34">
        <f t="shared" si="0"/>
        <v>0</v>
      </c>
      <c r="S6" s="82">
        <f t="shared" si="1"/>
        <v>0</v>
      </c>
      <c r="U6" s="2" t="s">
        <v>38</v>
      </c>
      <c r="V6" s="2">
        <f>C6*Navires!$B$2</f>
        <v>0</v>
      </c>
      <c r="W6" s="2">
        <f>D6*Navires!$C$2</f>
        <v>0</v>
      </c>
      <c r="X6" s="2">
        <f>E6*Navires!$D$2</f>
        <v>0</v>
      </c>
      <c r="Y6" s="2">
        <f>F6*Navires!$E$2</f>
        <v>0</v>
      </c>
      <c r="Z6" s="2">
        <f>G6*Navires!$F$2</f>
        <v>0</v>
      </c>
      <c r="AA6" s="2">
        <f>H6*Navires!$G$2</f>
        <v>0</v>
      </c>
      <c r="AB6" s="2">
        <f>I6*Navires!$H$2</f>
        <v>0</v>
      </c>
      <c r="AC6" s="2">
        <f>J6*Navires!$I$2</f>
        <v>0</v>
      </c>
      <c r="AD6" s="2">
        <f>K6*Navires!$J$2</f>
        <v>0</v>
      </c>
      <c r="AE6" s="2">
        <f>L6*Navires!$K$2</f>
        <v>0</v>
      </c>
      <c r="AF6" s="2">
        <f>M6*Navires!$L$2</f>
        <v>0</v>
      </c>
      <c r="AG6" s="2">
        <f>N6*Navires!$M$2</f>
        <v>0</v>
      </c>
      <c r="AH6" s="2">
        <f>O6*Navires!$N$2</f>
        <v>0</v>
      </c>
      <c r="AI6" s="2">
        <f>P6*Navires!$O$2</f>
        <v>0</v>
      </c>
      <c r="AJ6" s="2">
        <f>Q6*Navires!$P$2</f>
        <v>0</v>
      </c>
      <c r="AK6" s="35">
        <f>(SUM(V6:AJ6))*Générale!$B9</f>
        <v>0</v>
      </c>
      <c r="AM6" s="118" t="s">
        <v>38</v>
      </c>
      <c r="AN6" s="118">
        <f>C6*Navires!$B$6</f>
        <v>0</v>
      </c>
      <c r="AO6" s="118">
        <f>D6*Navires!$C$6</f>
        <v>0</v>
      </c>
      <c r="AP6" s="118">
        <f>E6*Navires!$D$6</f>
        <v>0</v>
      </c>
      <c r="AQ6" s="118">
        <f>F6*Navires!$E$6</f>
        <v>0</v>
      </c>
      <c r="AR6" s="118">
        <f>G6*Navires!$F$6</f>
        <v>0</v>
      </c>
      <c r="AS6" s="118">
        <f>H6*Navires!$G$6</f>
        <v>0</v>
      </c>
      <c r="AT6" s="118">
        <f>I6*Navires!$H$6</f>
        <v>0</v>
      </c>
      <c r="AU6" s="118">
        <f>J6*Navires!$I$6</f>
        <v>0</v>
      </c>
      <c r="AV6" s="118">
        <f>K6*Navires!$J$6</f>
        <v>0</v>
      </c>
      <c r="AW6" s="118">
        <f>L6*Navires!$K$6</f>
        <v>0</v>
      </c>
      <c r="AX6" s="118">
        <f>M6*Navires!$L$6</f>
        <v>0</v>
      </c>
      <c r="AY6" s="118">
        <f>N6*Navires!$M$6</f>
        <v>0</v>
      </c>
      <c r="AZ6" s="118">
        <f>O6*Navires!$N$6</f>
        <v>0</v>
      </c>
      <c r="BA6" s="118">
        <f>P6*Navires!$O$6</f>
        <v>0</v>
      </c>
      <c r="BB6" s="118">
        <f>Q6*Navires!$P$6</f>
        <v>0</v>
      </c>
      <c r="BC6" s="185">
        <f>SUM(AN6:BB6)*Générale!$B$27</f>
        <v>0</v>
      </c>
      <c r="BE6" s="118" t="s">
        <v>38</v>
      </c>
      <c r="BF6" s="118">
        <f>C6*Navires!$B$6</f>
        <v>0</v>
      </c>
      <c r="BG6" s="118">
        <f>D6*Navires!$B$6</f>
        <v>0</v>
      </c>
      <c r="BH6" s="118">
        <f>E6*Navires!$B$6</f>
        <v>0</v>
      </c>
      <c r="BI6" s="118">
        <f>F6*Navires!$B$6</f>
        <v>0</v>
      </c>
      <c r="BJ6" s="118">
        <f>G6*Navires!$B$6</f>
        <v>0</v>
      </c>
      <c r="BK6" s="118">
        <f>H6*Navires!$B$6</f>
        <v>0</v>
      </c>
      <c r="BL6" s="118">
        <f>I6*Navires!$B$6</f>
        <v>0</v>
      </c>
      <c r="BM6" s="118">
        <f>J6*Navires!$B$6</f>
        <v>0</v>
      </c>
      <c r="BN6" s="118">
        <f>K6*Navires!$B$6</f>
        <v>0</v>
      </c>
      <c r="BO6" s="118">
        <f>L6*Navires!$B$6</f>
        <v>0</v>
      </c>
      <c r="BP6" s="118">
        <f>M6*Navires!$B$6</f>
        <v>0</v>
      </c>
      <c r="BQ6" s="118">
        <f>N6*Navires!$B$6</f>
        <v>0</v>
      </c>
      <c r="BR6" s="118">
        <f>O6*Navires!$B$6</f>
        <v>0</v>
      </c>
      <c r="BS6" s="118">
        <f>P6*Navires!$B$6</f>
        <v>0</v>
      </c>
      <c r="BT6" s="118">
        <f>Q6*Navires!$B$6</f>
        <v>0</v>
      </c>
      <c r="BU6" s="185">
        <f>SUM(BF6:BT6)*Générale!$B$23</f>
        <v>0</v>
      </c>
    </row>
    <row r="7" spans="1:73" x14ac:dyDescent="0.25">
      <c r="A7" t="s">
        <v>51</v>
      </c>
      <c r="B7" s="2" t="s">
        <v>39</v>
      </c>
      <c r="C7" s="2">
        <v>2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/>
      <c r="K7" s="2"/>
      <c r="L7" s="2"/>
      <c r="M7" s="2"/>
      <c r="N7" s="2"/>
      <c r="O7" s="2"/>
      <c r="P7" s="2"/>
      <c r="Q7" s="32"/>
      <c r="R7" s="34">
        <f t="shared" si="0"/>
        <v>3</v>
      </c>
      <c r="S7" s="82">
        <f t="shared" si="1"/>
        <v>0.7009345794392523</v>
      </c>
      <c r="U7" s="2" t="s">
        <v>39</v>
      </c>
      <c r="V7" s="2">
        <f>C7*Navires!$B$2</f>
        <v>3910</v>
      </c>
      <c r="W7" s="2">
        <f>D7*Navires!$C$2</f>
        <v>1955</v>
      </c>
      <c r="X7" s="2">
        <f>E7*Navires!$D$2</f>
        <v>0</v>
      </c>
      <c r="Y7" s="2">
        <f>F7*Navires!$E$2</f>
        <v>0</v>
      </c>
      <c r="Z7" s="2">
        <f>G7*Navires!$F$2</f>
        <v>0</v>
      </c>
      <c r="AA7" s="2">
        <f>H7*Navires!$G$2</f>
        <v>0</v>
      </c>
      <c r="AB7" s="2">
        <f>I7*Navires!$H$2</f>
        <v>0</v>
      </c>
      <c r="AC7" s="2">
        <f>J7*Navires!$I$2</f>
        <v>0</v>
      </c>
      <c r="AD7" s="2">
        <f>K7*Navires!$J$2</f>
        <v>0</v>
      </c>
      <c r="AE7" s="2">
        <f>L7*Navires!$K$2</f>
        <v>0</v>
      </c>
      <c r="AF7" s="2">
        <f>M7*Navires!$L$2</f>
        <v>0</v>
      </c>
      <c r="AG7" s="2">
        <f>N7*Navires!$M$2</f>
        <v>0</v>
      </c>
      <c r="AH7" s="2">
        <f>O7*Navires!$N$2</f>
        <v>0</v>
      </c>
      <c r="AI7" s="2">
        <f>P7*Navires!$O$2</f>
        <v>0</v>
      </c>
      <c r="AJ7" s="2">
        <f>Q7*Navires!$P$2</f>
        <v>0</v>
      </c>
      <c r="AK7" s="35">
        <f>(SUM(V7:AJ7))*Générale!$B10</f>
        <v>5865</v>
      </c>
      <c r="AM7" s="118" t="s">
        <v>39</v>
      </c>
      <c r="AN7" s="118">
        <f>C7*Navires!$B$6</f>
        <v>1140.8</v>
      </c>
      <c r="AO7" s="118">
        <f>D7*Navires!$C$6</f>
        <v>570.4</v>
      </c>
      <c r="AP7" s="118">
        <f>E7*Navires!$D$6</f>
        <v>0</v>
      </c>
      <c r="AQ7" s="118">
        <f>F7*Navires!$E$6</f>
        <v>0</v>
      </c>
      <c r="AR7" s="118">
        <f>G7*Navires!$F$6</f>
        <v>0</v>
      </c>
      <c r="AS7" s="118">
        <f>H7*Navires!$G$6</f>
        <v>0</v>
      </c>
      <c r="AT7" s="118">
        <f>I7*Navires!$H$6</f>
        <v>0</v>
      </c>
      <c r="AU7" s="118">
        <f>J7*Navires!$I$6</f>
        <v>0</v>
      </c>
      <c r="AV7" s="118">
        <f>K7*Navires!$J$6</f>
        <v>0</v>
      </c>
      <c r="AW7" s="118">
        <f>L7*Navires!$K$6</f>
        <v>0</v>
      </c>
      <c r="AX7" s="118">
        <f>M7*Navires!$L$6</f>
        <v>0</v>
      </c>
      <c r="AY7" s="118">
        <f>N7*Navires!$M$6</f>
        <v>0</v>
      </c>
      <c r="AZ7" s="118">
        <f>O7*Navires!$N$6</f>
        <v>0</v>
      </c>
      <c r="BA7" s="118">
        <f>P7*Navires!$O$6</f>
        <v>0</v>
      </c>
      <c r="BB7" s="118">
        <f>Q7*Navires!$P$6</f>
        <v>0</v>
      </c>
      <c r="BC7" s="185">
        <f>SUM(AN7:BB7)*Générale!$B$27</f>
        <v>855.59999999999991</v>
      </c>
      <c r="BE7" s="118" t="s">
        <v>39</v>
      </c>
      <c r="BF7" s="118">
        <f>C7*Navires!$B$6</f>
        <v>1140.8</v>
      </c>
      <c r="BG7" s="118">
        <f>D7*Navires!$B$6</f>
        <v>570.4</v>
      </c>
      <c r="BH7" s="118">
        <f>E7*Navires!$B$6</f>
        <v>0</v>
      </c>
      <c r="BI7" s="118">
        <f>F7*Navires!$B$6</f>
        <v>0</v>
      </c>
      <c r="BJ7" s="118">
        <f>G7*Navires!$B$6</f>
        <v>0</v>
      </c>
      <c r="BK7" s="118">
        <f>H7*Navires!$B$6</f>
        <v>0</v>
      </c>
      <c r="BL7" s="118">
        <f>I7*Navires!$B$6</f>
        <v>0</v>
      </c>
      <c r="BM7" s="118">
        <f>J7*Navires!$B$6</f>
        <v>0</v>
      </c>
      <c r="BN7" s="118">
        <f>K7*Navires!$B$6</f>
        <v>0</v>
      </c>
      <c r="BO7" s="118">
        <f>L7*Navires!$B$6</f>
        <v>0</v>
      </c>
      <c r="BP7" s="118">
        <f>M7*Navires!$B$6</f>
        <v>0</v>
      </c>
      <c r="BQ7" s="118">
        <f>N7*Navires!$B$6</f>
        <v>0</v>
      </c>
      <c r="BR7" s="118">
        <f>O7*Navires!$B$6</f>
        <v>0</v>
      </c>
      <c r="BS7" s="118">
        <f>P7*Navires!$B$6</f>
        <v>0</v>
      </c>
      <c r="BT7" s="118">
        <f>Q7*Navires!$B$6</f>
        <v>0</v>
      </c>
      <c r="BU7" s="185">
        <f>SUM(BF7:BT7)*Générale!$B$22</f>
        <v>2909.0399999999995</v>
      </c>
    </row>
    <row r="8" spans="1:73" x14ac:dyDescent="0.25">
      <c r="A8" t="s">
        <v>52</v>
      </c>
      <c r="B8" s="2" t="s">
        <v>40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</v>
      </c>
      <c r="J8" s="2"/>
      <c r="K8" s="2"/>
      <c r="L8" s="2"/>
      <c r="M8" s="2"/>
      <c r="N8" s="2"/>
      <c r="O8" s="2"/>
      <c r="P8" s="2"/>
      <c r="Q8" s="32"/>
      <c r="R8" s="34">
        <f t="shared" si="0"/>
        <v>2</v>
      </c>
      <c r="S8" s="82">
        <f t="shared" si="1"/>
        <v>0.45146726862302489</v>
      </c>
      <c r="U8" s="2" t="s">
        <v>40</v>
      </c>
      <c r="V8" s="2">
        <f>C8*Navires!$B$2</f>
        <v>0</v>
      </c>
      <c r="W8" s="2">
        <f>D8*Navires!$C$2</f>
        <v>0</v>
      </c>
      <c r="X8" s="2">
        <f>E8*Navires!$D$2</f>
        <v>0</v>
      </c>
      <c r="Y8" s="2">
        <f>F8*Navires!$E$2</f>
        <v>0</v>
      </c>
      <c r="Z8" s="2">
        <f>G8*Navires!$F$2</f>
        <v>0</v>
      </c>
      <c r="AA8" s="2">
        <f>H8*Navires!$G$2</f>
        <v>0</v>
      </c>
      <c r="AB8" s="2">
        <f>I8*Navires!$H$2</f>
        <v>4000</v>
      </c>
      <c r="AC8" s="2">
        <f>J8*Navires!$I$2</f>
        <v>0</v>
      </c>
      <c r="AD8" s="2">
        <f>K8*Navires!$J$2</f>
        <v>0</v>
      </c>
      <c r="AE8" s="2">
        <f>L8*Navires!$K$2</f>
        <v>0</v>
      </c>
      <c r="AF8" s="2">
        <f>M8*Navires!$L$2</f>
        <v>0</v>
      </c>
      <c r="AG8" s="2">
        <f>N8*Navires!$M$2</f>
        <v>0</v>
      </c>
      <c r="AH8" s="2">
        <f>O8*Navires!$N$2</f>
        <v>0</v>
      </c>
      <c r="AI8" s="2">
        <f>P8*Navires!$O$2</f>
        <v>0</v>
      </c>
      <c r="AJ8" s="2">
        <f>Q8*Navires!$P$2</f>
        <v>0</v>
      </c>
      <c r="AK8" s="35">
        <f>(SUM(V8:AJ8))*Générale!$B11</f>
        <v>4000</v>
      </c>
      <c r="AM8" s="118" t="s">
        <v>40</v>
      </c>
      <c r="AN8" s="118">
        <f>C8*Navires!$B$6</f>
        <v>0</v>
      </c>
      <c r="AO8" s="118">
        <f>D8*Navires!$C$6</f>
        <v>0</v>
      </c>
      <c r="AP8" s="118">
        <f>E8*Navires!$D$6</f>
        <v>0</v>
      </c>
      <c r="AQ8" s="118">
        <f>F8*Navires!$E$6</f>
        <v>0</v>
      </c>
      <c r="AR8" s="118">
        <f>G8*Navires!$F$6</f>
        <v>0</v>
      </c>
      <c r="AS8" s="118">
        <f>H8*Navires!$G$6</f>
        <v>0</v>
      </c>
      <c r="AT8" s="118">
        <f>I8*Navires!$H$6</f>
        <v>1360</v>
      </c>
      <c r="AU8" s="118">
        <f>J8*Navires!$I$6</f>
        <v>0</v>
      </c>
      <c r="AV8" s="118">
        <f>K8*Navires!$J$6</f>
        <v>0</v>
      </c>
      <c r="AW8" s="118">
        <f>L8*Navires!$K$6</f>
        <v>0</v>
      </c>
      <c r="AX8" s="118">
        <f>M8*Navires!$L$6</f>
        <v>0</v>
      </c>
      <c r="AY8" s="118">
        <f>N8*Navires!$M$6</f>
        <v>0</v>
      </c>
      <c r="AZ8" s="118">
        <f>O8*Navires!$N$6</f>
        <v>0</v>
      </c>
      <c r="BA8" s="118">
        <f>P8*Navires!$O$6</f>
        <v>0</v>
      </c>
      <c r="BB8" s="118">
        <f>Q8*Navires!$P$6</f>
        <v>0</v>
      </c>
      <c r="BC8" s="185">
        <f>SUM(AN8:BB8)*Générale!$B$26</f>
        <v>408</v>
      </c>
      <c r="BE8" s="118" t="s">
        <v>40</v>
      </c>
      <c r="BF8" s="118">
        <f>C8*Navires!$B$6</f>
        <v>0</v>
      </c>
      <c r="BG8" s="118">
        <f>D8*Navires!$B$6</f>
        <v>0</v>
      </c>
      <c r="BH8" s="118">
        <f>E8*Navires!$B$6</f>
        <v>0</v>
      </c>
      <c r="BI8" s="118">
        <f>F8*Navires!$B$6</f>
        <v>0</v>
      </c>
      <c r="BJ8" s="118">
        <f>G8*Navires!$B$6</f>
        <v>0</v>
      </c>
      <c r="BK8" s="118">
        <f>H8*Navires!$B$6</f>
        <v>0</v>
      </c>
      <c r="BL8" s="118">
        <f>I8*Navires!$B$6</f>
        <v>1140.8</v>
      </c>
      <c r="BM8" s="118">
        <f>J8*Navires!$B$6</f>
        <v>0</v>
      </c>
      <c r="BN8" s="118">
        <f>K8*Navires!$B$6</f>
        <v>0</v>
      </c>
      <c r="BO8" s="118">
        <f>L8*Navires!$B$6</f>
        <v>0</v>
      </c>
      <c r="BP8" s="118">
        <f>M8*Navires!$B$6</f>
        <v>0</v>
      </c>
      <c r="BQ8" s="118">
        <f>N8*Navires!$B$6</f>
        <v>0</v>
      </c>
      <c r="BR8" s="118">
        <f>O8*Navires!$B$6</f>
        <v>0</v>
      </c>
      <c r="BS8" s="118">
        <f>P8*Navires!$B$6</f>
        <v>0</v>
      </c>
      <c r="BT8" s="118">
        <f>Q8*Navires!$B$6</f>
        <v>0</v>
      </c>
      <c r="BU8" s="185">
        <f>SUM(BF8:BT8)*Générale!$B$22</f>
        <v>1939.36</v>
      </c>
    </row>
    <row r="9" spans="1:73" x14ac:dyDescent="0.25">
      <c r="A9" t="s">
        <v>53</v>
      </c>
      <c r="B9" s="2" t="s">
        <v>41</v>
      </c>
      <c r="C9" s="2">
        <v>1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/>
      <c r="K9" s="2"/>
      <c r="L9" s="2"/>
      <c r="M9" s="2"/>
      <c r="N9" s="2"/>
      <c r="O9" s="2"/>
      <c r="P9" s="2"/>
      <c r="Q9" s="32"/>
      <c r="R9" s="34">
        <f t="shared" si="0"/>
        <v>2</v>
      </c>
      <c r="S9" s="82">
        <f t="shared" si="1"/>
        <v>0.46728971962616822</v>
      </c>
      <c r="U9" s="2" t="s">
        <v>41</v>
      </c>
      <c r="V9" s="2">
        <f>C9*Navires!$B$2</f>
        <v>1955</v>
      </c>
      <c r="W9" s="2">
        <f>D9*Navires!$C$2</f>
        <v>0</v>
      </c>
      <c r="X9" s="2">
        <f>E9*Navires!$D$2</f>
        <v>0</v>
      </c>
      <c r="Y9" s="2">
        <f>F9*Navires!$E$2</f>
        <v>1880</v>
      </c>
      <c r="Z9" s="2">
        <f>G9*Navires!$F$2</f>
        <v>0</v>
      </c>
      <c r="AA9" s="2">
        <f>H9*Navires!$G$2</f>
        <v>0</v>
      </c>
      <c r="AB9" s="2">
        <f>I9*Navires!$H$2</f>
        <v>0</v>
      </c>
      <c r="AC9" s="2">
        <f>J9*Navires!$I$2</f>
        <v>0</v>
      </c>
      <c r="AD9" s="2">
        <f>K9*Navires!$J$2</f>
        <v>0</v>
      </c>
      <c r="AE9" s="2">
        <f>L9*Navires!$K$2</f>
        <v>0</v>
      </c>
      <c r="AF9" s="2">
        <f>M9*Navires!$L$2</f>
        <v>0</v>
      </c>
      <c r="AG9" s="2">
        <f>N9*Navires!$M$2</f>
        <v>0</v>
      </c>
      <c r="AH9" s="2">
        <f>O9*Navires!$N$2</f>
        <v>0</v>
      </c>
      <c r="AI9" s="2">
        <f>P9*Navires!$O$2</f>
        <v>0</v>
      </c>
      <c r="AJ9" s="2">
        <f>Q9*Navires!$P$2</f>
        <v>0</v>
      </c>
      <c r="AK9" s="35">
        <f>(SUM(V9:AJ9))*Générale!$B12</f>
        <v>3835</v>
      </c>
      <c r="AM9" s="118" t="s">
        <v>41</v>
      </c>
      <c r="AN9" s="118">
        <f>C9*Navires!$B$6</f>
        <v>570.4</v>
      </c>
      <c r="AO9" s="118">
        <f>D9*Navires!$C$6</f>
        <v>0</v>
      </c>
      <c r="AP9" s="118">
        <f>E9*Navires!$D$6</f>
        <v>0</v>
      </c>
      <c r="AQ9" s="118">
        <f>F9*Navires!$E$6</f>
        <v>1228</v>
      </c>
      <c r="AR9" s="118">
        <f>G9*Navires!$F$6</f>
        <v>0</v>
      </c>
      <c r="AS9" s="118">
        <f>H9*Navires!$G$6</f>
        <v>0</v>
      </c>
      <c r="AT9" s="118">
        <f>I9*Navires!$H$6</f>
        <v>0</v>
      </c>
      <c r="AU9" s="118">
        <f>J9*Navires!$I$6</f>
        <v>0</v>
      </c>
      <c r="AV9" s="118">
        <f>K9*Navires!$J$6</f>
        <v>0</v>
      </c>
      <c r="AW9" s="118">
        <f>L9*Navires!$K$6</f>
        <v>0</v>
      </c>
      <c r="AX9" s="118">
        <f>M9*Navires!$L$6</f>
        <v>0</v>
      </c>
      <c r="AY9" s="118">
        <f>N9*Navires!$M$6</f>
        <v>0</v>
      </c>
      <c r="AZ9" s="118">
        <f>O9*Navires!$N$6</f>
        <v>0</v>
      </c>
      <c r="BA9" s="118">
        <f>P9*Navires!$O$6</f>
        <v>0</v>
      </c>
      <c r="BB9" s="118">
        <f>Q9*Navires!$P$6</f>
        <v>0</v>
      </c>
      <c r="BC9" s="185">
        <f>SUM(AN9:BB9)*Générale!$B$26</f>
        <v>539.52</v>
      </c>
      <c r="BE9" s="118" t="s">
        <v>41</v>
      </c>
      <c r="BF9" s="118">
        <f>C9*Navires!$B$6</f>
        <v>570.4</v>
      </c>
      <c r="BG9" s="118">
        <f>D9*Navires!$B$6</f>
        <v>0</v>
      </c>
      <c r="BH9" s="118">
        <f>E9*Navires!$B$6</f>
        <v>0</v>
      </c>
      <c r="BI9" s="118">
        <f>F9*Navires!$B$6</f>
        <v>570.4</v>
      </c>
      <c r="BJ9" s="118">
        <f>G9*Navires!$B$6</f>
        <v>0</v>
      </c>
      <c r="BK9" s="118">
        <f>H9*Navires!$B$6</f>
        <v>0</v>
      </c>
      <c r="BL9" s="118">
        <f>I9*Navires!$B$6</f>
        <v>0</v>
      </c>
      <c r="BM9" s="118">
        <f>J9*Navires!$B$6</f>
        <v>0</v>
      </c>
      <c r="BN9" s="118">
        <f>K9*Navires!$B$6</f>
        <v>0</v>
      </c>
      <c r="BO9" s="118">
        <f>L9*Navires!$B$6</f>
        <v>0</v>
      </c>
      <c r="BP9" s="118">
        <f>M9*Navires!$B$6</f>
        <v>0</v>
      </c>
      <c r="BQ9" s="118">
        <f>N9*Navires!$B$6</f>
        <v>0</v>
      </c>
      <c r="BR9" s="118">
        <f>O9*Navires!$B$6</f>
        <v>0</v>
      </c>
      <c r="BS9" s="118">
        <f>P9*Navires!$B$6</f>
        <v>0</v>
      </c>
      <c r="BT9" s="118">
        <f>Q9*Navires!$B$6</f>
        <v>0</v>
      </c>
      <c r="BU9" s="185">
        <f>SUM(BF9:BT9)*Générale!$B$22</f>
        <v>1939.36</v>
      </c>
    </row>
    <row r="10" spans="1:73" x14ac:dyDescent="0.25">
      <c r="A10" t="s">
        <v>54</v>
      </c>
      <c r="B10" s="2" t="s">
        <v>42</v>
      </c>
      <c r="C10" s="2">
        <v>2</v>
      </c>
      <c r="D10" s="2">
        <v>0</v>
      </c>
      <c r="E10" s="2">
        <v>0</v>
      </c>
      <c r="F10" s="2">
        <v>1</v>
      </c>
      <c r="G10" s="2">
        <v>1</v>
      </c>
      <c r="H10" s="2">
        <v>0</v>
      </c>
      <c r="I10" s="2">
        <v>0</v>
      </c>
      <c r="J10" s="2"/>
      <c r="K10" s="2"/>
      <c r="L10" s="2"/>
      <c r="M10" s="2"/>
      <c r="N10" s="2"/>
      <c r="O10" s="2"/>
      <c r="P10" s="2"/>
      <c r="Q10" s="32"/>
      <c r="R10" s="34">
        <f t="shared" si="0"/>
        <v>4</v>
      </c>
      <c r="S10" s="82">
        <f t="shared" si="1"/>
        <v>0.90293453724604977</v>
      </c>
      <c r="U10" s="2" t="s">
        <v>42</v>
      </c>
      <c r="V10" s="2">
        <f>C10*Navires!$B$2</f>
        <v>3910</v>
      </c>
      <c r="W10" s="2">
        <f>D10*Navires!$C$2</f>
        <v>0</v>
      </c>
      <c r="X10" s="2">
        <f>E10*Navires!$D$2</f>
        <v>0</v>
      </c>
      <c r="Y10" s="2">
        <f>F10*Navires!$E$2</f>
        <v>1880</v>
      </c>
      <c r="Z10" s="2">
        <f>G10*Navires!$F$2</f>
        <v>1896</v>
      </c>
      <c r="AA10" s="2">
        <f>H10*Navires!$G$2</f>
        <v>0</v>
      </c>
      <c r="AB10" s="2">
        <f>I10*Navires!$H$2</f>
        <v>0</v>
      </c>
      <c r="AC10" s="2">
        <f>J10*Navires!$I$2</f>
        <v>0</v>
      </c>
      <c r="AD10" s="2">
        <f>K10*Navires!$J$2</f>
        <v>0</v>
      </c>
      <c r="AE10" s="2">
        <f>L10*Navires!$K$2</f>
        <v>0</v>
      </c>
      <c r="AF10" s="2">
        <f>M10*Navires!$L$2</f>
        <v>0</v>
      </c>
      <c r="AG10" s="2">
        <f>N10*Navires!$M$2</f>
        <v>0</v>
      </c>
      <c r="AH10" s="2">
        <f>O10*Navires!$N$2</f>
        <v>0</v>
      </c>
      <c r="AI10" s="2">
        <f>P10*Navires!$O$2</f>
        <v>0</v>
      </c>
      <c r="AJ10" s="2">
        <f>Q10*Navires!$P$2</f>
        <v>0</v>
      </c>
      <c r="AK10" s="35">
        <f>(SUM(V10:AJ10))*Générale!$B13</f>
        <v>7686</v>
      </c>
      <c r="AM10" s="118" t="s">
        <v>42</v>
      </c>
      <c r="AN10" s="118">
        <f>C10*Navires!$B$6</f>
        <v>1140.8</v>
      </c>
      <c r="AO10" s="118">
        <f>D10*Navires!$C$6</f>
        <v>0</v>
      </c>
      <c r="AP10" s="118">
        <f>E10*Navires!$D$6</f>
        <v>0</v>
      </c>
      <c r="AQ10" s="118">
        <f>F10*Navires!$E$6</f>
        <v>1228</v>
      </c>
      <c r="AR10" s="118">
        <f>G10*Navires!$F$6</f>
        <v>680.80000000000007</v>
      </c>
      <c r="AS10" s="118">
        <f>H10*Navires!$G$6</f>
        <v>0</v>
      </c>
      <c r="AT10" s="118">
        <f>I10*Navires!$H$6</f>
        <v>0</v>
      </c>
      <c r="AU10" s="118">
        <f>J10*Navires!$I$6</f>
        <v>0</v>
      </c>
      <c r="AV10" s="118">
        <f>K10*Navires!$J$6</f>
        <v>0</v>
      </c>
      <c r="AW10" s="118">
        <f>L10*Navires!$K$6</f>
        <v>0</v>
      </c>
      <c r="AX10" s="118">
        <f>M10*Navires!$L$6</f>
        <v>0</v>
      </c>
      <c r="AY10" s="118">
        <f>N10*Navires!$M$6</f>
        <v>0</v>
      </c>
      <c r="AZ10" s="118">
        <f>O10*Navires!$N$6</f>
        <v>0</v>
      </c>
      <c r="BA10" s="118">
        <f>P10*Navires!$O$6</f>
        <v>0</v>
      </c>
      <c r="BB10" s="118">
        <f>Q10*Navires!$P$6</f>
        <v>0</v>
      </c>
      <c r="BC10" s="185">
        <f>SUM(AN10:BB10)*Générale!$B$26</f>
        <v>914.88000000000011</v>
      </c>
      <c r="BE10" s="118" t="s">
        <v>42</v>
      </c>
      <c r="BF10" s="118">
        <f>C10*Navires!$B$6</f>
        <v>1140.8</v>
      </c>
      <c r="BG10" s="118">
        <f>D10*Navires!$B$6</f>
        <v>0</v>
      </c>
      <c r="BH10" s="118">
        <f>E10*Navires!$B$6</f>
        <v>0</v>
      </c>
      <c r="BI10" s="118">
        <f>F10*Navires!$B$6</f>
        <v>570.4</v>
      </c>
      <c r="BJ10" s="118">
        <f>G10*Navires!$B$6</f>
        <v>570.4</v>
      </c>
      <c r="BK10" s="118">
        <f>H10*Navires!$B$6</f>
        <v>0</v>
      </c>
      <c r="BL10" s="118">
        <f>I10*Navires!$B$6</f>
        <v>0</v>
      </c>
      <c r="BM10" s="118">
        <f>J10*Navires!$B$6</f>
        <v>0</v>
      </c>
      <c r="BN10" s="118">
        <f>K10*Navires!$B$6</f>
        <v>0</v>
      </c>
      <c r="BO10" s="118">
        <f>L10*Navires!$B$6</f>
        <v>0</v>
      </c>
      <c r="BP10" s="118">
        <f>M10*Navires!$B$6</f>
        <v>0</v>
      </c>
      <c r="BQ10" s="118">
        <f>N10*Navires!$B$6</f>
        <v>0</v>
      </c>
      <c r="BR10" s="118">
        <f>O10*Navires!$B$6</f>
        <v>0</v>
      </c>
      <c r="BS10" s="118">
        <f>P10*Navires!$B$6</f>
        <v>0</v>
      </c>
      <c r="BT10" s="118">
        <f>Q10*Navires!$B$6</f>
        <v>0</v>
      </c>
      <c r="BU10" s="185">
        <f>SUM(BF10:BT10)*Générale!$B$22</f>
        <v>3878.72</v>
      </c>
    </row>
    <row r="11" spans="1:73" x14ac:dyDescent="0.25">
      <c r="A11" t="s">
        <v>55</v>
      </c>
      <c r="B11" s="2" t="s">
        <v>43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/>
      <c r="K11" s="2"/>
      <c r="L11" s="2"/>
      <c r="M11" s="2"/>
      <c r="N11" s="2"/>
      <c r="O11" s="2"/>
      <c r="P11" s="2"/>
      <c r="Q11" s="32"/>
      <c r="R11" s="34">
        <f t="shared" si="0"/>
        <v>0</v>
      </c>
      <c r="S11" s="82">
        <f t="shared" si="1"/>
        <v>0</v>
      </c>
      <c r="U11" s="2" t="s">
        <v>43</v>
      </c>
      <c r="V11" s="2">
        <f>C11*Navires!$B$2</f>
        <v>0</v>
      </c>
      <c r="W11" s="2">
        <f>D11*Navires!$C$2</f>
        <v>0</v>
      </c>
      <c r="X11" s="2">
        <f>E11*Navires!$D$2</f>
        <v>0</v>
      </c>
      <c r="Y11" s="2">
        <f>F11*Navires!$E$2</f>
        <v>0</v>
      </c>
      <c r="Z11" s="2">
        <f>G11*Navires!$F$2</f>
        <v>0</v>
      </c>
      <c r="AA11" s="2">
        <f>H11*Navires!$G$2</f>
        <v>0</v>
      </c>
      <c r="AB11" s="2">
        <f>I11*Navires!$H$2</f>
        <v>0</v>
      </c>
      <c r="AC11" s="2">
        <f>J11*Navires!$I$2</f>
        <v>0</v>
      </c>
      <c r="AD11" s="2">
        <f>K11*Navires!$J$2</f>
        <v>0</v>
      </c>
      <c r="AE11" s="2">
        <f>L11*Navires!$K$2</f>
        <v>0</v>
      </c>
      <c r="AF11" s="2">
        <f>M11*Navires!$L$2</f>
        <v>0</v>
      </c>
      <c r="AG11" s="2">
        <f>N11*Navires!$M$2</f>
        <v>0</v>
      </c>
      <c r="AH11" s="2">
        <f>O11*Navires!$N$2</f>
        <v>0</v>
      </c>
      <c r="AI11" s="2">
        <f>P11*Navires!$O$2</f>
        <v>0</v>
      </c>
      <c r="AJ11" s="2">
        <f>Q11*Navires!$P$2</f>
        <v>0</v>
      </c>
      <c r="AK11" s="35">
        <f>(SUM(V11:AJ11))*Générale!$B14</f>
        <v>0</v>
      </c>
      <c r="AM11" s="118" t="s">
        <v>43</v>
      </c>
      <c r="AN11" s="118">
        <f>C11*Navires!$B$6</f>
        <v>0</v>
      </c>
      <c r="AO11" s="118">
        <f>D11*Navires!$C$6</f>
        <v>0</v>
      </c>
      <c r="AP11" s="118">
        <f>E11*Navires!$D$6</f>
        <v>0</v>
      </c>
      <c r="AQ11" s="118">
        <f>F11*Navires!$E$6</f>
        <v>0</v>
      </c>
      <c r="AR11" s="118">
        <f>G11*Navires!$F$6</f>
        <v>0</v>
      </c>
      <c r="AS11" s="118">
        <f>H11*Navires!$G$6</f>
        <v>0</v>
      </c>
      <c r="AT11" s="118">
        <f>I11*Navires!$H$6</f>
        <v>0</v>
      </c>
      <c r="AU11" s="118">
        <f>J11*Navires!$I$6</f>
        <v>0</v>
      </c>
      <c r="AV11" s="118">
        <f>K11*Navires!$J$6</f>
        <v>0</v>
      </c>
      <c r="AW11" s="118">
        <f>L11*Navires!$K$6</f>
        <v>0</v>
      </c>
      <c r="AX11" s="118">
        <f>M11*Navires!$L$6</f>
        <v>0</v>
      </c>
      <c r="AY11" s="118">
        <f>N11*Navires!$M$6</f>
        <v>0</v>
      </c>
      <c r="AZ11" s="118">
        <f>O11*Navires!$N$6</f>
        <v>0</v>
      </c>
      <c r="BA11" s="118">
        <f>P11*Navires!$O$6</f>
        <v>0</v>
      </c>
      <c r="BB11" s="118">
        <f>Q11*Navires!$P$6</f>
        <v>0</v>
      </c>
      <c r="BC11" s="185">
        <f>SUM(AN11:BB11)*Générale!$B$26</f>
        <v>0</v>
      </c>
      <c r="BE11" s="118" t="s">
        <v>43</v>
      </c>
      <c r="BF11" s="118">
        <f>C11*Navires!$B$6</f>
        <v>0</v>
      </c>
      <c r="BG11" s="118">
        <f>D11*Navires!$B$6</f>
        <v>0</v>
      </c>
      <c r="BH11" s="118">
        <f>E11*Navires!$B$6</f>
        <v>0</v>
      </c>
      <c r="BI11" s="118">
        <f>F11*Navires!$B$6</f>
        <v>0</v>
      </c>
      <c r="BJ11" s="118">
        <f>G11*Navires!$B$6</f>
        <v>0</v>
      </c>
      <c r="BK11" s="118">
        <f>H11*Navires!$B$6</f>
        <v>0</v>
      </c>
      <c r="BL11" s="118">
        <f>I11*Navires!$B$6</f>
        <v>0</v>
      </c>
      <c r="BM11" s="118">
        <f>J11*Navires!$B$6</f>
        <v>0</v>
      </c>
      <c r="BN11" s="118">
        <f>K11*Navires!$B$6</f>
        <v>0</v>
      </c>
      <c r="BO11" s="118">
        <f>L11*Navires!$B$6</f>
        <v>0</v>
      </c>
      <c r="BP11" s="118">
        <f>M11*Navires!$B$6</f>
        <v>0</v>
      </c>
      <c r="BQ11" s="118">
        <f>N11*Navires!$B$6</f>
        <v>0</v>
      </c>
      <c r="BR11" s="118">
        <f>O11*Navires!$B$6</f>
        <v>0</v>
      </c>
      <c r="BS11" s="118">
        <f>P11*Navires!$B$6</f>
        <v>0</v>
      </c>
      <c r="BT11" s="118">
        <f>Q11*Navires!$B$6</f>
        <v>0</v>
      </c>
      <c r="BU11" s="185">
        <f>SUM(BF11:BT11)*Générale!$B$22</f>
        <v>0</v>
      </c>
    </row>
    <row r="12" spans="1:73" x14ac:dyDescent="0.25">
      <c r="A12" t="s">
        <v>56</v>
      </c>
      <c r="B12" s="2" t="s">
        <v>44</v>
      </c>
      <c r="C12" s="2">
        <v>1</v>
      </c>
      <c r="D12" s="2">
        <v>0</v>
      </c>
      <c r="E12" s="2">
        <v>0</v>
      </c>
      <c r="F12" s="2">
        <v>2</v>
      </c>
      <c r="G12" s="2">
        <v>0</v>
      </c>
      <c r="H12" s="2">
        <v>0</v>
      </c>
      <c r="I12" s="2">
        <v>0</v>
      </c>
      <c r="J12" s="2"/>
      <c r="K12" s="2"/>
      <c r="L12" s="2"/>
      <c r="M12" s="2"/>
      <c r="N12" s="2"/>
      <c r="O12" s="2"/>
      <c r="P12" s="2"/>
      <c r="Q12" s="32"/>
      <c r="R12" s="34">
        <f t="shared" si="0"/>
        <v>3</v>
      </c>
      <c r="S12" s="82">
        <f t="shared" si="1"/>
        <v>0.7009345794392523</v>
      </c>
      <c r="U12" s="2" t="s">
        <v>44</v>
      </c>
      <c r="V12" s="2">
        <f>C12*Navires!$B$2</f>
        <v>1955</v>
      </c>
      <c r="W12" s="2">
        <f>D12*Navires!$C$2</f>
        <v>0</v>
      </c>
      <c r="X12" s="2">
        <f>E12*Navires!$D$2</f>
        <v>0</v>
      </c>
      <c r="Y12" s="2">
        <f>F12*Navires!$E$2</f>
        <v>3760</v>
      </c>
      <c r="Z12" s="2">
        <f>G12*Navires!$F$2</f>
        <v>0</v>
      </c>
      <c r="AA12" s="2">
        <f>H12*Navires!$G$2</f>
        <v>0</v>
      </c>
      <c r="AB12" s="2">
        <f>I12*Navires!$H$2</f>
        <v>0</v>
      </c>
      <c r="AC12" s="2">
        <f>J12*Navires!$I$2</f>
        <v>0</v>
      </c>
      <c r="AD12" s="2">
        <f>K12*Navires!$J$2</f>
        <v>0</v>
      </c>
      <c r="AE12" s="2">
        <f>L12*Navires!$K$2</f>
        <v>0</v>
      </c>
      <c r="AF12" s="2">
        <f>M12*Navires!$L$2</f>
        <v>0</v>
      </c>
      <c r="AG12" s="2">
        <f>N12*Navires!$M$2</f>
        <v>0</v>
      </c>
      <c r="AH12" s="2">
        <f>O12*Navires!$N$2</f>
        <v>0</v>
      </c>
      <c r="AI12" s="2">
        <f>P12*Navires!$O$2</f>
        <v>0</v>
      </c>
      <c r="AJ12" s="2">
        <f>Q12*Navires!$P$2</f>
        <v>0</v>
      </c>
      <c r="AK12" s="35">
        <f>(SUM(V12:AJ12))*Générale!$B15</f>
        <v>5715</v>
      </c>
      <c r="AM12" s="118" t="s">
        <v>44</v>
      </c>
      <c r="AN12" s="118">
        <f>C12*Navires!$B$6</f>
        <v>570.4</v>
      </c>
      <c r="AO12" s="118">
        <f>D12*Navires!$C$6</f>
        <v>0</v>
      </c>
      <c r="AP12" s="118">
        <f>E12*Navires!$D$6</f>
        <v>0</v>
      </c>
      <c r="AQ12" s="118">
        <f>F12*Navires!$E$6</f>
        <v>2456</v>
      </c>
      <c r="AR12" s="118">
        <f>G12*Navires!$F$6</f>
        <v>0</v>
      </c>
      <c r="AS12" s="118">
        <f>H12*Navires!$G$6</f>
        <v>0</v>
      </c>
      <c r="AT12" s="118">
        <f>I12*Navires!$H$6</f>
        <v>0</v>
      </c>
      <c r="AU12" s="118">
        <f>J12*Navires!$I$6</f>
        <v>0</v>
      </c>
      <c r="AV12" s="118">
        <f>K12*Navires!$J$6</f>
        <v>0</v>
      </c>
      <c r="AW12" s="118">
        <f>L12*Navires!$K$6</f>
        <v>0</v>
      </c>
      <c r="AX12" s="118">
        <f>M12*Navires!$L$6</f>
        <v>0</v>
      </c>
      <c r="AY12" s="118">
        <f>N12*Navires!$M$6</f>
        <v>0</v>
      </c>
      <c r="AZ12" s="118">
        <f>O12*Navires!$N$6</f>
        <v>0</v>
      </c>
      <c r="BA12" s="118">
        <f>P12*Navires!$O$6</f>
        <v>0</v>
      </c>
      <c r="BB12" s="118">
        <f>Q12*Navires!$P$6</f>
        <v>0</v>
      </c>
      <c r="BC12" s="185">
        <f>SUM(AN12:BB12)*Générale!$B$26</f>
        <v>907.92</v>
      </c>
      <c r="BE12" s="118" t="s">
        <v>44</v>
      </c>
      <c r="BF12" s="118">
        <f>C12*Navires!$B$6</f>
        <v>570.4</v>
      </c>
      <c r="BG12" s="118">
        <f>D12*Navires!$B$6</f>
        <v>0</v>
      </c>
      <c r="BH12" s="118">
        <f>E12*Navires!$B$6</f>
        <v>0</v>
      </c>
      <c r="BI12" s="118">
        <f>F12*Navires!$B$6</f>
        <v>1140.8</v>
      </c>
      <c r="BJ12" s="118">
        <f>G12*Navires!$B$6</f>
        <v>0</v>
      </c>
      <c r="BK12" s="118">
        <f>H12*Navires!$B$6</f>
        <v>0</v>
      </c>
      <c r="BL12" s="118">
        <f>I12*Navires!$B$6</f>
        <v>0</v>
      </c>
      <c r="BM12" s="118">
        <f>J12*Navires!$B$6</f>
        <v>0</v>
      </c>
      <c r="BN12" s="118">
        <f>K12*Navires!$B$6</f>
        <v>0</v>
      </c>
      <c r="BO12" s="118">
        <f>L12*Navires!$B$6</f>
        <v>0</v>
      </c>
      <c r="BP12" s="118">
        <f>M12*Navires!$B$6</f>
        <v>0</v>
      </c>
      <c r="BQ12" s="118">
        <f>N12*Navires!$B$6</f>
        <v>0</v>
      </c>
      <c r="BR12" s="118">
        <f>O12*Navires!$B$6</f>
        <v>0</v>
      </c>
      <c r="BS12" s="118">
        <f>P12*Navires!$B$6</f>
        <v>0</v>
      </c>
      <c r="BT12" s="118">
        <f>Q12*Navires!$B$6</f>
        <v>0</v>
      </c>
      <c r="BU12" s="185">
        <f>SUM(BF12:BT12)*Générale!$B$22</f>
        <v>2909.0399999999995</v>
      </c>
    </row>
    <row r="13" spans="1:73" x14ac:dyDescent="0.25">
      <c r="A13" t="s">
        <v>57</v>
      </c>
      <c r="B13" s="2" t="s">
        <v>45</v>
      </c>
      <c r="C13" s="2">
        <v>2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/>
      <c r="K13" s="2"/>
      <c r="L13" s="2"/>
      <c r="M13" s="2"/>
      <c r="N13" s="2"/>
      <c r="O13" s="2"/>
      <c r="P13" s="2"/>
      <c r="Q13" s="32"/>
      <c r="R13" s="34">
        <f t="shared" si="0"/>
        <v>2</v>
      </c>
      <c r="S13" s="82">
        <f t="shared" si="1"/>
        <v>0.45146726862302489</v>
      </c>
      <c r="U13" s="2" t="s">
        <v>45</v>
      </c>
      <c r="V13" s="2">
        <f>C13*Navires!$B$2</f>
        <v>3910</v>
      </c>
      <c r="W13" s="2">
        <f>D13*Navires!$C$2</f>
        <v>0</v>
      </c>
      <c r="X13" s="2">
        <f>E13*Navires!$D$2</f>
        <v>0</v>
      </c>
      <c r="Y13" s="2">
        <f>F13*Navires!$E$2</f>
        <v>0</v>
      </c>
      <c r="Z13" s="2">
        <f>G13*Navires!$F$2</f>
        <v>0</v>
      </c>
      <c r="AA13" s="2">
        <f>H13*Navires!$G$2</f>
        <v>0</v>
      </c>
      <c r="AB13" s="2">
        <f>I13*Navires!$H$2</f>
        <v>0</v>
      </c>
      <c r="AC13" s="2">
        <f>J13*Navires!$I$2</f>
        <v>0</v>
      </c>
      <c r="AD13" s="2">
        <f>K13*Navires!$J$2</f>
        <v>0</v>
      </c>
      <c r="AE13" s="2">
        <f>L13*Navires!$K$2</f>
        <v>0</v>
      </c>
      <c r="AF13" s="2">
        <f>M13*Navires!$L$2</f>
        <v>0</v>
      </c>
      <c r="AG13" s="2">
        <f>N13*Navires!$M$2</f>
        <v>0</v>
      </c>
      <c r="AH13" s="2">
        <f>O13*Navires!$N$2</f>
        <v>0</v>
      </c>
      <c r="AI13" s="2">
        <f>P13*Navires!$O$2</f>
        <v>0</v>
      </c>
      <c r="AJ13" s="2">
        <f>Q13*Navires!$P$2</f>
        <v>0</v>
      </c>
      <c r="AK13" s="35">
        <f>(SUM(V13:AJ13))*Générale!$B16</f>
        <v>3910</v>
      </c>
      <c r="AM13" s="118" t="s">
        <v>45</v>
      </c>
      <c r="AN13" s="118">
        <f>C13*Navires!$B$6</f>
        <v>1140.8</v>
      </c>
      <c r="AO13" s="118">
        <f>D13*Navires!$C$6</f>
        <v>0</v>
      </c>
      <c r="AP13" s="118">
        <f>E13*Navires!$D$6</f>
        <v>0</v>
      </c>
      <c r="AQ13" s="118">
        <f>F13*Navires!$E$6</f>
        <v>0</v>
      </c>
      <c r="AR13" s="118">
        <f>G13*Navires!$F$6</f>
        <v>0</v>
      </c>
      <c r="AS13" s="118">
        <f>H13*Navires!$G$6</f>
        <v>0</v>
      </c>
      <c r="AT13" s="118">
        <f>I13*Navires!$H$6</f>
        <v>0</v>
      </c>
      <c r="AU13" s="118">
        <f>J13*Navires!$I$6</f>
        <v>0</v>
      </c>
      <c r="AV13" s="118">
        <f>K13*Navires!$J$6</f>
        <v>0</v>
      </c>
      <c r="AW13" s="118">
        <f>L13*Navires!$K$6</f>
        <v>0</v>
      </c>
      <c r="AX13" s="118">
        <f>M13*Navires!$L$6</f>
        <v>0</v>
      </c>
      <c r="AY13" s="118">
        <f>N13*Navires!$M$6</f>
        <v>0</v>
      </c>
      <c r="AZ13" s="118">
        <f>O13*Navires!$N$6</f>
        <v>0</v>
      </c>
      <c r="BA13" s="118">
        <f>P13*Navires!$O$6</f>
        <v>0</v>
      </c>
      <c r="BB13" s="118">
        <f>Q13*Navires!$P$6</f>
        <v>0</v>
      </c>
      <c r="BC13" s="185">
        <f>SUM(AN13:BB13)*Générale!$B$27</f>
        <v>570.4</v>
      </c>
      <c r="BE13" s="118" t="s">
        <v>45</v>
      </c>
      <c r="BF13" s="118">
        <f>C13*Navires!$B$6</f>
        <v>1140.8</v>
      </c>
      <c r="BG13" s="118">
        <f>D13*Navires!$B$6</f>
        <v>0</v>
      </c>
      <c r="BH13" s="118">
        <f>E13*Navires!$B$6</f>
        <v>0</v>
      </c>
      <c r="BI13" s="118">
        <f>F13*Navires!$B$6</f>
        <v>0</v>
      </c>
      <c r="BJ13" s="118">
        <f>G13*Navires!$B$6</f>
        <v>0</v>
      </c>
      <c r="BK13" s="118">
        <f>H13*Navires!$B$6</f>
        <v>0</v>
      </c>
      <c r="BL13" s="118">
        <f>I13*Navires!$B$6</f>
        <v>0</v>
      </c>
      <c r="BM13" s="118">
        <f>J13*Navires!$B$6</f>
        <v>0</v>
      </c>
      <c r="BN13" s="118">
        <f>K13*Navires!$B$6</f>
        <v>0</v>
      </c>
      <c r="BO13" s="118">
        <f>L13*Navires!$B$6</f>
        <v>0</v>
      </c>
      <c r="BP13" s="118">
        <f>M13*Navires!$B$6</f>
        <v>0</v>
      </c>
      <c r="BQ13" s="118">
        <f>N13*Navires!$B$6</f>
        <v>0</v>
      </c>
      <c r="BR13" s="118">
        <f>O13*Navires!$B$6</f>
        <v>0</v>
      </c>
      <c r="BS13" s="118">
        <f>P13*Navires!$B$6</f>
        <v>0</v>
      </c>
      <c r="BT13" s="118">
        <f>Q13*Navires!$B$6</f>
        <v>0</v>
      </c>
      <c r="BU13" s="185">
        <f>SUM(BF13:BT13)*Générale!$B$22</f>
        <v>1939.36</v>
      </c>
    </row>
    <row r="14" spans="1:73" x14ac:dyDescent="0.25">
      <c r="A14" t="s">
        <v>58</v>
      </c>
      <c r="B14" s="2" t="s">
        <v>46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/>
      <c r="L14" s="2"/>
      <c r="M14" s="2"/>
      <c r="N14" s="2"/>
      <c r="O14" s="2"/>
      <c r="P14" s="2"/>
      <c r="Q14" s="32"/>
      <c r="R14" s="34">
        <f t="shared" si="0"/>
        <v>0</v>
      </c>
      <c r="S14" s="82">
        <f t="shared" si="1"/>
        <v>0</v>
      </c>
      <c r="U14" s="2" t="s">
        <v>46</v>
      </c>
      <c r="V14" s="2">
        <f>C14*Navires!$B$2</f>
        <v>0</v>
      </c>
      <c r="W14" s="2">
        <f>D14*Navires!$C$2</f>
        <v>0</v>
      </c>
      <c r="X14" s="2">
        <f>E14*Navires!$D$2</f>
        <v>0</v>
      </c>
      <c r="Y14" s="2">
        <f>F14*Navires!$E$2</f>
        <v>0</v>
      </c>
      <c r="Z14" s="2">
        <f>G14*Navires!$F$2</f>
        <v>0</v>
      </c>
      <c r="AA14" s="2">
        <f>H14*Navires!$G$2</f>
        <v>0</v>
      </c>
      <c r="AB14" s="2">
        <f>I14*Navires!$H$2</f>
        <v>0</v>
      </c>
      <c r="AC14" s="2">
        <f>J14*Navires!$I$2</f>
        <v>0</v>
      </c>
      <c r="AD14" s="2">
        <f>K14*Navires!$J$2</f>
        <v>0</v>
      </c>
      <c r="AE14" s="2">
        <f>L14*Navires!$K$2</f>
        <v>0</v>
      </c>
      <c r="AF14" s="2">
        <f>M14*Navires!$L$2</f>
        <v>0</v>
      </c>
      <c r="AG14" s="2">
        <f>N14*Navires!$M$2</f>
        <v>0</v>
      </c>
      <c r="AH14" s="2">
        <f>O14*Navires!$N$2</f>
        <v>0</v>
      </c>
      <c r="AI14" s="2">
        <f>P14*Navires!$O$2</f>
        <v>0</v>
      </c>
      <c r="AJ14" s="2">
        <f>Q14*Navires!$P$2</f>
        <v>0</v>
      </c>
      <c r="AK14" s="35">
        <f>(SUM(V14:AJ14))*Générale!$B17</f>
        <v>0</v>
      </c>
      <c r="AM14" s="118" t="s">
        <v>46</v>
      </c>
      <c r="AN14" s="118">
        <f>C14*Navires!$B$6</f>
        <v>0</v>
      </c>
      <c r="AO14" s="118">
        <f>D14*Navires!$C$6</f>
        <v>0</v>
      </c>
      <c r="AP14" s="118">
        <f>E14*Navires!$D$6</f>
        <v>0</v>
      </c>
      <c r="AQ14" s="118">
        <f>F14*Navires!$E$6</f>
        <v>0</v>
      </c>
      <c r="AR14" s="118">
        <f>G14*Navires!$F$6</f>
        <v>0</v>
      </c>
      <c r="AS14" s="118">
        <f>H14*Navires!$G$6</f>
        <v>0</v>
      </c>
      <c r="AT14" s="118">
        <f>I14*Navires!$H$6</f>
        <v>0</v>
      </c>
      <c r="AU14" s="118">
        <f>J14*Navires!$I$6</f>
        <v>0</v>
      </c>
      <c r="AV14" s="118">
        <f>K14*Navires!$J$6</f>
        <v>0</v>
      </c>
      <c r="AW14" s="118">
        <f>L14*Navires!$K$6</f>
        <v>0</v>
      </c>
      <c r="AX14" s="118">
        <f>M14*Navires!$L$6</f>
        <v>0</v>
      </c>
      <c r="AY14" s="118">
        <f>N14*Navires!$M$6</f>
        <v>0</v>
      </c>
      <c r="AZ14" s="118">
        <f>O14*Navires!$N$6</f>
        <v>0</v>
      </c>
      <c r="BA14" s="118">
        <f>P14*Navires!$O$6</f>
        <v>0</v>
      </c>
      <c r="BB14" s="118">
        <f>Q14*Navires!$P$6</f>
        <v>0</v>
      </c>
      <c r="BC14" s="185">
        <f>SUM(AN14:BB14)*Générale!$B$27</f>
        <v>0</v>
      </c>
      <c r="BE14" s="118" t="s">
        <v>46</v>
      </c>
      <c r="BF14" s="118">
        <f>C14*Navires!$B$6</f>
        <v>0</v>
      </c>
      <c r="BG14" s="118">
        <f>D14*Navires!$B$6</f>
        <v>0</v>
      </c>
      <c r="BH14" s="118">
        <f>E14*Navires!$B$6</f>
        <v>0</v>
      </c>
      <c r="BI14" s="118">
        <f>F14*Navires!$B$6</f>
        <v>0</v>
      </c>
      <c r="BJ14" s="118">
        <f>G14*Navires!$B$6</f>
        <v>0</v>
      </c>
      <c r="BK14" s="118">
        <f>H14*Navires!$B$6</f>
        <v>0</v>
      </c>
      <c r="BL14" s="118">
        <f>I14*Navires!$B$6</f>
        <v>0</v>
      </c>
      <c r="BM14" s="118">
        <f>J14*Navires!$B$6</f>
        <v>0</v>
      </c>
      <c r="BN14" s="118">
        <f>K14*Navires!$B$6</f>
        <v>0</v>
      </c>
      <c r="BO14" s="118">
        <f>L14*Navires!$B$6</f>
        <v>0</v>
      </c>
      <c r="BP14" s="118">
        <f>M14*Navires!$B$6</f>
        <v>0</v>
      </c>
      <c r="BQ14" s="118">
        <f>N14*Navires!$B$6</f>
        <v>0</v>
      </c>
      <c r="BR14" s="118">
        <f>O14*Navires!$B$6</f>
        <v>0</v>
      </c>
      <c r="BS14" s="118">
        <f>P14*Navires!$B$6</f>
        <v>0</v>
      </c>
      <c r="BT14" s="118">
        <f>Q14*Navires!$B$6</f>
        <v>0</v>
      </c>
      <c r="BU14" s="185">
        <f>SUM(BF14:BT14)*Générale!$B$23</f>
        <v>0</v>
      </c>
    </row>
    <row r="15" spans="1:73" x14ac:dyDescent="0.25">
      <c r="A15" t="s">
        <v>59</v>
      </c>
      <c r="B15" s="2" t="s">
        <v>47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/>
      <c r="K15" s="2"/>
      <c r="L15" s="2"/>
      <c r="M15" s="2"/>
      <c r="N15" s="2"/>
      <c r="O15" s="2"/>
      <c r="P15" s="2"/>
      <c r="Q15" s="32"/>
      <c r="R15" s="34">
        <f t="shared" si="0"/>
        <v>0</v>
      </c>
      <c r="S15" s="82">
        <f t="shared" si="1"/>
        <v>0</v>
      </c>
      <c r="U15" s="2" t="s">
        <v>47</v>
      </c>
      <c r="V15" s="2">
        <f>C15*Navires!$B$2</f>
        <v>0</v>
      </c>
      <c r="W15" s="2">
        <f>D15*Navires!$C$2</f>
        <v>0</v>
      </c>
      <c r="X15" s="2">
        <f>E15*Navires!$D$2</f>
        <v>0</v>
      </c>
      <c r="Y15" s="2">
        <f>F15*Navires!$E$2</f>
        <v>0</v>
      </c>
      <c r="Z15" s="2">
        <f>G15*Navires!$F$2</f>
        <v>0</v>
      </c>
      <c r="AA15" s="2">
        <f>H15*Navires!$G$2</f>
        <v>0</v>
      </c>
      <c r="AB15" s="2">
        <f>I15*Navires!$H$2</f>
        <v>0</v>
      </c>
      <c r="AC15" s="2">
        <f>J15*Navires!$I$2</f>
        <v>0</v>
      </c>
      <c r="AD15" s="2">
        <f>K15*Navires!$J$2</f>
        <v>0</v>
      </c>
      <c r="AE15" s="2">
        <f>L15*Navires!$K$2</f>
        <v>0</v>
      </c>
      <c r="AF15" s="2">
        <f>M15*Navires!$L$2</f>
        <v>0</v>
      </c>
      <c r="AG15" s="2">
        <f>N15*Navires!$M$2</f>
        <v>0</v>
      </c>
      <c r="AH15" s="2">
        <f>O15*Navires!$N$2</f>
        <v>0</v>
      </c>
      <c r="AI15" s="2">
        <f>P15*Navires!$O$2</f>
        <v>0</v>
      </c>
      <c r="AJ15" s="2">
        <f>Q15*Navires!$P$2</f>
        <v>0</v>
      </c>
      <c r="AK15" s="35">
        <f>(SUM(V15:AJ15))*Générale!$B18</f>
        <v>0</v>
      </c>
      <c r="AM15" s="118" t="s">
        <v>47</v>
      </c>
      <c r="AN15" s="118">
        <f>C15*Navires!$B$6</f>
        <v>0</v>
      </c>
      <c r="AO15" s="118">
        <f>D15*Navires!$C$6</f>
        <v>0</v>
      </c>
      <c r="AP15" s="118">
        <f>E15*Navires!$D$6</f>
        <v>0</v>
      </c>
      <c r="AQ15" s="118">
        <f>F15*Navires!$E$6</f>
        <v>0</v>
      </c>
      <c r="AR15" s="118">
        <f>G15*Navires!$F$6</f>
        <v>0</v>
      </c>
      <c r="AS15" s="118">
        <f>H15*Navires!$G$6</f>
        <v>0</v>
      </c>
      <c r="AT15" s="118">
        <f>I15*Navires!$H$6</f>
        <v>0</v>
      </c>
      <c r="AU15" s="118">
        <f>J15*Navires!$I$6</f>
        <v>0</v>
      </c>
      <c r="AV15" s="118">
        <f>K15*Navires!$J$6</f>
        <v>0</v>
      </c>
      <c r="AW15" s="118">
        <f>L15*Navires!$K$6</f>
        <v>0</v>
      </c>
      <c r="AX15" s="118">
        <f>M15*Navires!$L$6</f>
        <v>0</v>
      </c>
      <c r="AY15" s="118">
        <f>N15*Navires!$M$6</f>
        <v>0</v>
      </c>
      <c r="AZ15" s="118">
        <f>O15*Navires!$N$6</f>
        <v>0</v>
      </c>
      <c r="BA15" s="118">
        <f>P15*Navires!$O$6</f>
        <v>0</v>
      </c>
      <c r="BB15" s="118">
        <f>Q15*Navires!$P$6</f>
        <v>0</v>
      </c>
      <c r="BC15" s="185">
        <f>SUM(AN15:BB15)*Générale!$B$27</f>
        <v>0</v>
      </c>
      <c r="BE15" s="118" t="s">
        <v>47</v>
      </c>
      <c r="BF15" s="118">
        <f>C15*Navires!$B$6</f>
        <v>0</v>
      </c>
      <c r="BG15" s="118">
        <f>D15*Navires!$B$6</f>
        <v>0</v>
      </c>
      <c r="BH15" s="118">
        <f>E15*Navires!$B$6</f>
        <v>0</v>
      </c>
      <c r="BI15" s="118">
        <f>F15*Navires!$B$6</f>
        <v>0</v>
      </c>
      <c r="BJ15" s="118">
        <f>G15*Navires!$B$6</f>
        <v>0</v>
      </c>
      <c r="BK15" s="118">
        <f>H15*Navires!$B$6</f>
        <v>0</v>
      </c>
      <c r="BL15" s="118">
        <f>I15*Navires!$B$6</f>
        <v>0</v>
      </c>
      <c r="BM15" s="118">
        <f>J15*Navires!$B$6</f>
        <v>0</v>
      </c>
      <c r="BN15" s="118">
        <f>K15*Navires!$B$6</f>
        <v>0</v>
      </c>
      <c r="BO15" s="118">
        <f>L15*Navires!$B$6</f>
        <v>0</v>
      </c>
      <c r="BP15" s="118">
        <f>M15*Navires!$B$6</f>
        <v>0</v>
      </c>
      <c r="BQ15" s="118">
        <f>N15*Navires!$B$6</f>
        <v>0</v>
      </c>
      <c r="BR15" s="118">
        <f>O15*Navires!$B$6</f>
        <v>0</v>
      </c>
      <c r="BS15" s="118">
        <f>P15*Navires!$B$6</f>
        <v>0</v>
      </c>
      <c r="BT15" s="118">
        <f>Q15*Navires!$B$6</f>
        <v>0</v>
      </c>
      <c r="BU15" s="185">
        <f>SUM(BF15:BT15)*Générale!$B$23</f>
        <v>0</v>
      </c>
    </row>
    <row r="16" spans="1:73" x14ac:dyDescent="0.25">
      <c r="B16" s="29" t="s">
        <v>60</v>
      </c>
      <c r="C16" s="30">
        <f>SUM(C4:C15)</f>
        <v>8</v>
      </c>
      <c r="D16" s="30">
        <f t="shared" ref="D16:Q16" si="2">SUM(D4:D15)</f>
        <v>1</v>
      </c>
      <c r="E16" s="30">
        <f t="shared" si="2"/>
        <v>0</v>
      </c>
      <c r="F16" s="30">
        <f t="shared" si="2"/>
        <v>4</v>
      </c>
      <c r="G16" s="30">
        <f t="shared" si="2"/>
        <v>1</v>
      </c>
      <c r="H16" s="30">
        <f t="shared" si="2"/>
        <v>0</v>
      </c>
      <c r="I16" s="30">
        <f t="shared" si="2"/>
        <v>2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2"/>
        <v>0</v>
      </c>
      <c r="O16" s="30">
        <f t="shared" si="2"/>
        <v>0</v>
      </c>
      <c r="P16" s="30">
        <f t="shared" si="2"/>
        <v>0</v>
      </c>
      <c r="Q16" s="30">
        <f t="shared" si="2"/>
        <v>0</v>
      </c>
      <c r="R16" s="34">
        <f t="shared" si="0"/>
        <v>16</v>
      </c>
      <c r="S16" s="82">
        <f t="shared" si="1"/>
        <v>0.30692499520429695</v>
      </c>
      <c r="U16" s="29" t="s">
        <v>60</v>
      </c>
      <c r="V16" s="30">
        <f>SUM(V4:V15)</f>
        <v>15640</v>
      </c>
      <c r="W16" s="30">
        <f t="shared" ref="W16:AJ16" si="3">SUM(W4:W15)</f>
        <v>1955</v>
      </c>
      <c r="X16" s="30">
        <f t="shared" si="3"/>
        <v>0</v>
      </c>
      <c r="Y16" s="30">
        <f t="shared" si="3"/>
        <v>7520</v>
      </c>
      <c r="Z16" s="30">
        <f t="shared" si="3"/>
        <v>1896</v>
      </c>
      <c r="AA16" s="30">
        <f t="shared" si="3"/>
        <v>0</v>
      </c>
      <c r="AB16" s="30">
        <f t="shared" si="3"/>
        <v>4000</v>
      </c>
      <c r="AC16" s="30">
        <f t="shared" si="3"/>
        <v>0</v>
      </c>
      <c r="AD16" s="30">
        <f t="shared" si="3"/>
        <v>0</v>
      </c>
      <c r="AE16" s="30">
        <f t="shared" si="3"/>
        <v>0</v>
      </c>
      <c r="AF16" s="30">
        <f t="shared" si="3"/>
        <v>0</v>
      </c>
      <c r="AG16" s="30">
        <f t="shared" si="3"/>
        <v>0</v>
      </c>
      <c r="AH16" s="30">
        <f t="shared" si="3"/>
        <v>0</v>
      </c>
      <c r="AI16" s="30">
        <f t="shared" si="3"/>
        <v>0</v>
      </c>
      <c r="AJ16" s="30">
        <f t="shared" si="3"/>
        <v>0</v>
      </c>
      <c r="AM16" s="29" t="s">
        <v>60</v>
      </c>
      <c r="AN16" s="30">
        <f>SUM(AN4:AN15)</f>
        <v>4563.2</v>
      </c>
      <c r="AO16" s="30">
        <f t="shared" ref="AO16:BB16" si="4">SUM(AO4:AO15)</f>
        <v>570.4</v>
      </c>
      <c r="AP16" s="30">
        <f t="shared" si="4"/>
        <v>0</v>
      </c>
      <c r="AQ16" s="30">
        <f t="shared" si="4"/>
        <v>4912</v>
      </c>
      <c r="AR16" s="30">
        <f t="shared" si="4"/>
        <v>680.80000000000007</v>
      </c>
      <c r="AS16" s="30">
        <f t="shared" si="4"/>
        <v>0</v>
      </c>
      <c r="AT16" s="30">
        <f t="shared" si="4"/>
        <v>1360</v>
      </c>
      <c r="AU16" s="30">
        <f t="shared" si="4"/>
        <v>0</v>
      </c>
      <c r="AV16" s="30">
        <f t="shared" si="4"/>
        <v>0</v>
      </c>
      <c r="AW16" s="30">
        <f t="shared" si="4"/>
        <v>0</v>
      </c>
      <c r="AX16" s="30">
        <f t="shared" si="4"/>
        <v>0</v>
      </c>
      <c r="AY16" s="30">
        <f t="shared" si="4"/>
        <v>0</v>
      </c>
      <c r="AZ16" s="30">
        <f t="shared" si="4"/>
        <v>0</v>
      </c>
      <c r="BA16" s="30">
        <f t="shared" si="4"/>
        <v>0</v>
      </c>
      <c r="BB16" s="30">
        <f t="shared" si="4"/>
        <v>0</v>
      </c>
      <c r="BE16" s="29" t="s">
        <v>60</v>
      </c>
      <c r="BF16" s="30">
        <f>SUM(BF4:BF15)</f>
        <v>4563.2</v>
      </c>
      <c r="BG16" s="30">
        <f t="shared" ref="BG16:BT16" si="5">SUM(BG4:BG15)</f>
        <v>570.4</v>
      </c>
      <c r="BH16" s="30">
        <f t="shared" si="5"/>
        <v>0</v>
      </c>
      <c r="BI16" s="30">
        <f t="shared" si="5"/>
        <v>2281.6</v>
      </c>
      <c r="BJ16" s="30">
        <f t="shared" si="5"/>
        <v>570.4</v>
      </c>
      <c r="BK16" s="30">
        <f t="shared" si="5"/>
        <v>0</v>
      </c>
      <c r="BL16" s="30">
        <f t="shared" si="5"/>
        <v>1140.8</v>
      </c>
      <c r="BM16" s="30">
        <f t="shared" si="5"/>
        <v>0</v>
      </c>
      <c r="BN16" s="30">
        <f t="shared" si="5"/>
        <v>0</v>
      </c>
      <c r="BO16" s="30">
        <f t="shared" si="5"/>
        <v>0</v>
      </c>
      <c r="BP16" s="30">
        <f t="shared" si="5"/>
        <v>0</v>
      </c>
      <c r="BQ16" s="30">
        <f t="shared" si="5"/>
        <v>0</v>
      </c>
      <c r="BR16" s="30">
        <f t="shared" si="5"/>
        <v>0</v>
      </c>
      <c r="BS16" s="30">
        <f t="shared" si="5"/>
        <v>0</v>
      </c>
      <c r="BT16" s="30">
        <f t="shared" si="5"/>
        <v>0</v>
      </c>
    </row>
    <row r="17" spans="1:73" x14ac:dyDescent="0.25">
      <c r="S17" s="79"/>
    </row>
    <row r="18" spans="1:73" ht="15" customHeight="1" x14ac:dyDescent="0.25">
      <c r="C18" s="215" t="s">
        <v>63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S18" s="79"/>
      <c r="U18" s="217" t="s">
        <v>64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M18" s="217" t="s">
        <v>160</v>
      </c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E18" s="217" t="s">
        <v>166</v>
      </c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</row>
    <row r="19" spans="1:73" ht="26.25" customHeight="1" x14ac:dyDescent="0.25"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S19" s="79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</row>
    <row r="20" spans="1:73" ht="45" x14ac:dyDescent="0.25">
      <c r="C20" s="24" t="s">
        <v>21</v>
      </c>
      <c r="D20" s="24" t="s">
        <v>22</v>
      </c>
      <c r="E20" s="24" t="s">
        <v>23</v>
      </c>
      <c r="F20" s="24" t="s">
        <v>24</v>
      </c>
      <c r="G20" s="24" t="s">
        <v>25</v>
      </c>
      <c r="H20" s="24" t="s">
        <v>26</v>
      </c>
      <c r="I20" s="25" t="s">
        <v>30</v>
      </c>
      <c r="J20" s="25" t="s">
        <v>33</v>
      </c>
      <c r="K20" s="25" t="s">
        <v>65</v>
      </c>
      <c r="L20" s="25" t="s">
        <v>31</v>
      </c>
      <c r="M20" s="25" t="s">
        <v>32</v>
      </c>
      <c r="N20" s="25" t="s">
        <v>29</v>
      </c>
      <c r="O20" s="25" t="s">
        <v>28</v>
      </c>
      <c r="P20" s="24" t="s">
        <v>27</v>
      </c>
      <c r="Q20" s="31" t="s">
        <v>34</v>
      </c>
      <c r="R20" s="33" t="s">
        <v>60</v>
      </c>
      <c r="S20" s="87" t="s">
        <v>100</v>
      </c>
      <c r="U20" s="2"/>
      <c r="V20" s="23" t="s">
        <v>21</v>
      </c>
      <c r="W20" s="23" t="s">
        <v>22</v>
      </c>
      <c r="X20" s="23" t="s">
        <v>23</v>
      </c>
      <c r="Y20" s="23" t="s">
        <v>24</v>
      </c>
      <c r="Z20" s="23" t="s">
        <v>25</v>
      </c>
      <c r="AA20" s="23" t="s">
        <v>26</v>
      </c>
      <c r="AB20" s="23" t="s">
        <v>30</v>
      </c>
      <c r="AC20" s="23" t="s">
        <v>33</v>
      </c>
      <c r="AD20" s="23" t="s">
        <v>26</v>
      </c>
      <c r="AE20" s="23" t="s">
        <v>31</v>
      </c>
      <c r="AF20" s="23" t="s">
        <v>32</v>
      </c>
      <c r="AG20" s="23" t="s">
        <v>29</v>
      </c>
      <c r="AH20" s="23" t="s">
        <v>28</v>
      </c>
      <c r="AI20" s="23" t="s">
        <v>27</v>
      </c>
      <c r="AJ20" s="23" t="s">
        <v>34</v>
      </c>
      <c r="AK20" s="37" t="s">
        <v>60</v>
      </c>
      <c r="AM20" s="118"/>
      <c r="AN20" s="23" t="s">
        <v>21</v>
      </c>
      <c r="AO20" s="23" t="s">
        <v>22</v>
      </c>
      <c r="AP20" s="23" t="s">
        <v>23</v>
      </c>
      <c r="AQ20" s="23" t="s">
        <v>24</v>
      </c>
      <c r="AR20" s="23" t="s">
        <v>25</v>
      </c>
      <c r="AS20" s="23" t="s">
        <v>26</v>
      </c>
      <c r="AT20" s="23" t="s">
        <v>30</v>
      </c>
      <c r="AU20" s="23" t="s">
        <v>33</v>
      </c>
      <c r="AV20" s="23" t="s">
        <v>26</v>
      </c>
      <c r="AW20" s="23" t="s">
        <v>31</v>
      </c>
      <c r="AX20" s="23" t="s">
        <v>32</v>
      </c>
      <c r="AY20" s="23" t="s">
        <v>29</v>
      </c>
      <c r="AZ20" s="23" t="s">
        <v>28</v>
      </c>
      <c r="BA20" s="23" t="s">
        <v>27</v>
      </c>
      <c r="BB20" s="23" t="s">
        <v>34</v>
      </c>
      <c r="BC20" s="37" t="s">
        <v>60</v>
      </c>
      <c r="BE20" s="118"/>
      <c r="BF20" s="23" t="s">
        <v>21</v>
      </c>
      <c r="BG20" s="23" t="s">
        <v>22</v>
      </c>
      <c r="BH20" s="23" t="s">
        <v>23</v>
      </c>
      <c r="BI20" s="23" t="s">
        <v>24</v>
      </c>
      <c r="BJ20" s="23" t="s">
        <v>25</v>
      </c>
      <c r="BK20" s="23" t="s">
        <v>26</v>
      </c>
      <c r="BL20" s="23" t="s">
        <v>30</v>
      </c>
      <c r="BM20" s="23" t="s">
        <v>33</v>
      </c>
      <c r="BN20" s="23" t="s">
        <v>26</v>
      </c>
      <c r="BO20" s="23" t="s">
        <v>31</v>
      </c>
      <c r="BP20" s="23" t="s">
        <v>32</v>
      </c>
      <c r="BQ20" s="23" t="s">
        <v>29</v>
      </c>
      <c r="BR20" s="23" t="s">
        <v>28</v>
      </c>
      <c r="BS20" s="23" t="s">
        <v>27</v>
      </c>
      <c r="BT20" s="23" t="s">
        <v>34</v>
      </c>
      <c r="BU20" s="37" t="s">
        <v>60</v>
      </c>
    </row>
    <row r="21" spans="1:73" x14ac:dyDescent="0.25">
      <c r="A21" t="s">
        <v>48</v>
      </c>
      <c r="B21" s="2" t="s">
        <v>36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/>
      <c r="J21" s="2"/>
      <c r="K21" s="2"/>
      <c r="L21" s="2"/>
      <c r="M21" s="2"/>
      <c r="N21" s="2"/>
      <c r="O21" s="2"/>
      <c r="P21" s="2"/>
      <c r="Q21" s="32"/>
      <c r="R21" s="34">
        <f>SUM(C21:Q21)</f>
        <v>1</v>
      </c>
      <c r="S21" s="82">
        <f>R21/R36</f>
        <v>0.22573363431151244</v>
      </c>
      <c r="U21" s="2" t="s">
        <v>36</v>
      </c>
      <c r="V21" s="2">
        <f>C21*Navires!$B$2</f>
        <v>0</v>
      </c>
      <c r="W21" s="2">
        <f>D21*Navires!$C$2</f>
        <v>0</v>
      </c>
      <c r="X21" s="2">
        <f>E21*Navires!$D$2</f>
        <v>0</v>
      </c>
      <c r="Y21" s="2">
        <f>F21*Navires!$E$2</f>
        <v>0</v>
      </c>
      <c r="Z21" s="2">
        <f>G21*Navires!$F$2</f>
        <v>1896</v>
      </c>
      <c r="AA21" s="2">
        <f>H21*Navires!$G$2</f>
        <v>0</v>
      </c>
      <c r="AB21" s="2">
        <f>I21*Navires!$H$2</f>
        <v>0</v>
      </c>
      <c r="AC21" s="2">
        <f>J21*Navires!$I$2</f>
        <v>0</v>
      </c>
      <c r="AD21" s="2">
        <f>K21*Navires!$J$2</f>
        <v>0</v>
      </c>
      <c r="AE21" s="2">
        <f>L21*Navires!$K$2</f>
        <v>0</v>
      </c>
      <c r="AF21" s="2">
        <f>M21*Navires!$L$2</f>
        <v>0</v>
      </c>
      <c r="AG21" s="2">
        <f>N21*Navires!$M$2</f>
        <v>0</v>
      </c>
      <c r="AH21" s="2">
        <f>O21*Navires!$N$2</f>
        <v>0</v>
      </c>
      <c r="AI21" s="2">
        <f>P21*Navires!$O$2</f>
        <v>0</v>
      </c>
      <c r="AJ21" s="2">
        <f>Q21*Navires!$P$2</f>
        <v>0</v>
      </c>
      <c r="AK21" s="35">
        <f>(SUM(V21:AJ21))*Générale!$B7</f>
        <v>1896</v>
      </c>
      <c r="AM21" s="118" t="s">
        <v>36</v>
      </c>
      <c r="AN21" s="118">
        <f>C21*Navires!$B$6</f>
        <v>0</v>
      </c>
      <c r="AO21" s="118">
        <f>D21*Navires!$C$6</f>
        <v>0</v>
      </c>
      <c r="AP21" s="118">
        <f>E21*Navires!$D$6</f>
        <v>0</v>
      </c>
      <c r="AQ21" s="118">
        <f>F21*Navires!$E$6</f>
        <v>0</v>
      </c>
      <c r="AR21" s="118">
        <f>G21*Navires!$F$6</f>
        <v>680.80000000000007</v>
      </c>
      <c r="AS21" s="118">
        <f>H21*Navires!$G$6</f>
        <v>0</v>
      </c>
      <c r="AT21" s="118">
        <f>I21*Navires!$H$6</f>
        <v>0</v>
      </c>
      <c r="AU21" s="118">
        <f>J21*Navires!$I$6</f>
        <v>0</v>
      </c>
      <c r="AV21" s="118">
        <f>K21*Navires!$J$6</f>
        <v>0</v>
      </c>
      <c r="AW21" s="118">
        <f>L21*Navires!$K$6</f>
        <v>0</v>
      </c>
      <c r="AX21" s="118">
        <f>M21*Navires!$L$6</f>
        <v>0</v>
      </c>
      <c r="AY21" s="118">
        <f>N21*Navires!$M$6</f>
        <v>0</v>
      </c>
      <c r="AZ21" s="118">
        <f>O21*Navires!$N$6</f>
        <v>0</v>
      </c>
      <c r="BA21" s="118">
        <f>P21*Navires!$O$6</f>
        <v>0</v>
      </c>
      <c r="BB21" s="118">
        <f>Q21*Navires!$P$6</f>
        <v>0</v>
      </c>
      <c r="BC21" s="185">
        <f>SUM(AN21:BB21)*Générale!$B$27</f>
        <v>340.40000000000003</v>
      </c>
      <c r="BE21" s="118" t="s">
        <v>36</v>
      </c>
      <c r="BF21" s="118">
        <f>C21*Navires!$B$6</f>
        <v>0</v>
      </c>
      <c r="BG21" s="118">
        <f>D21*Navires!$B$6</f>
        <v>0</v>
      </c>
      <c r="BH21" s="118">
        <f>E21*Navires!$B$6</f>
        <v>0</v>
      </c>
      <c r="BI21" s="118">
        <f>F21*Navires!$B$6</f>
        <v>0</v>
      </c>
      <c r="BJ21" s="118">
        <f>G21*Navires!$B$6</f>
        <v>570.4</v>
      </c>
      <c r="BK21" s="118">
        <f>H21*Navires!$B$6</f>
        <v>0</v>
      </c>
      <c r="BL21" s="118">
        <f>I21*Navires!$B$6</f>
        <v>0</v>
      </c>
      <c r="BM21" s="118">
        <f>J21*Navires!$B$6</f>
        <v>0</v>
      </c>
      <c r="BN21" s="118">
        <f>K21*Navires!$B$6</f>
        <v>0</v>
      </c>
      <c r="BO21" s="118">
        <f>L21*Navires!$B$6</f>
        <v>0</v>
      </c>
      <c r="BP21" s="118">
        <f>M21*Navires!$B$6</f>
        <v>0</v>
      </c>
      <c r="BQ21" s="118">
        <f>N21*Navires!$B$6</f>
        <v>0</v>
      </c>
      <c r="BR21" s="118">
        <f>O21*Navires!$B$6</f>
        <v>0</v>
      </c>
      <c r="BS21" s="118">
        <f>P21*Navires!$B$6</f>
        <v>0</v>
      </c>
      <c r="BT21" s="118">
        <f>Q21*Navires!$B$6</f>
        <v>0</v>
      </c>
      <c r="BU21" s="185">
        <f>SUM(BF21:BT21)*Générale!$B$23</f>
        <v>399.28</v>
      </c>
    </row>
    <row r="22" spans="1:73" x14ac:dyDescent="0.25">
      <c r="A22" t="s">
        <v>49</v>
      </c>
      <c r="B22" s="2" t="s">
        <v>37</v>
      </c>
      <c r="C22" s="2">
        <v>0</v>
      </c>
      <c r="D22" s="2">
        <v>0</v>
      </c>
      <c r="E22">
        <v>0</v>
      </c>
      <c r="F22" s="2">
        <v>0</v>
      </c>
      <c r="G22" s="2">
        <v>0</v>
      </c>
      <c r="H22" s="2">
        <v>0</v>
      </c>
      <c r="I22" s="2"/>
      <c r="J22" s="2"/>
      <c r="K22" s="2"/>
      <c r="L22" s="2"/>
      <c r="M22" s="2"/>
      <c r="N22" s="2"/>
      <c r="O22" s="2"/>
      <c r="P22" s="2"/>
      <c r="Q22" s="32"/>
      <c r="R22" s="34">
        <f t="shared" ref="R22:R33" si="6">SUM(C22:Q22)</f>
        <v>0</v>
      </c>
      <c r="S22" s="82">
        <f t="shared" ref="S22:S33" si="7">R22/R37</f>
        <v>0</v>
      </c>
      <c r="U22" s="2" t="s">
        <v>37</v>
      </c>
      <c r="V22" s="2">
        <f>C22*Navires!$B$2</f>
        <v>0</v>
      </c>
      <c r="W22" s="2">
        <f>D22*Navires!$C$2</f>
        <v>0</v>
      </c>
      <c r="X22" s="2">
        <f>E22*Navires!$D$2</f>
        <v>0</v>
      </c>
      <c r="Y22" s="2">
        <f>F22*Navires!$E$2</f>
        <v>0</v>
      </c>
      <c r="Z22" s="2">
        <f>G22*Navires!$F$2</f>
        <v>0</v>
      </c>
      <c r="AA22" s="2">
        <f>H22*Navires!$G$2</f>
        <v>0</v>
      </c>
      <c r="AB22" s="2">
        <f>I22*Navires!$H$2</f>
        <v>0</v>
      </c>
      <c r="AC22" s="2">
        <f>J22*Navires!$I$2</f>
        <v>0</v>
      </c>
      <c r="AD22" s="2">
        <f>K22*Navires!$J$2</f>
        <v>0</v>
      </c>
      <c r="AE22" s="2">
        <f>L22*Navires!$K$2</f>
        <v>0</v>
      </c>
      <c r="AF22" s="2">
        <f>M22*Navires!$L$2</f>
        <v>0</v>
      </c>
      <c r="AG22" s="2">
        <f>N22*Navires!$M$2</f>
        <v>0</v>
      </c>
      <c r="AH22" s="2">
        <f>O22*Navires!$N$2</f>
        <v>0</v>
      </c>
      <c r="AI22" s="2">
        <f>P22*Navires!$O$2</f>
        <v>0</v>
      </c>
      <c r="AJ22" s="2">
        <f>Q22*Navires!$P$2</f>
        <v>0</v>
      </c>
      <c r="AK22" s="35">
        <f>(SUM(V22:AJ22))*Générale!$B8</f>
        <v>0</v>
      </c>
      <c r="AM22" s="118" t="s">
        <v>37</v>
      </c>
      <c r="AN22" s="118">
        <f>C22*Navires!$B$6</f>
        <v>0</v>
      </c>
      <c r="AO22" s="118">
        <f>D22*Navires!$C$6</f>
        <v>0</v>
      </c>
      <c r="AP22" s="118">
        <f>E22*Navires!$D$6</f>
        <v>0</v>
      </c>
      <c r="AQ22" s="118">
        <f>F22*Navires!$E$6</f>
        <v>0</v>
      </c>
      <c r="AR22" s="118">
        <f>G22*Navires!$F$6</f>
        <v>0</v>
      </c>
      <c r="AS22" s="118">
        <f>H22*Navires!$G$6</f>
        <v>0</v>
      </c>
      <c r="AT22" s="118">
        <f>I22*Navires!$H$6</f>
        <v>0</v>
      </c>
      <c r="AU22" s="118">
        <f>J22*Navires!$I$6</f>
        <v>0</v>
      </c>
      <c r="AV22" s="118">
        <f>K22*Navires!$J$6</f>
        <v>0</v>
      </c>
      <c r="AW22" s="118">
        <f>L22*Navires!$K$6</f>
        <v>0</v>
      </c>
      <c r="AX22" s="118">
        <f>M22*Navires!$L$6</f>
        <v>0</v>
      </c>
      <c r="AY22" s="118">
        <f>N22*Navires!$M$6</f>
        <v>0</v>
      </c>
      <c r="AZ22" s="118">
        <f>O22*Navires!$N$6</f>
        <v>0</v>
      </c>
      <c r="BA22" s="118">
        <f>P22*Navires!$O$6</f>
        <v>0</v>
      </c>
      <c r="BB22" s="118">
        <f>Q22*Navires!$P$6</f>
        <v>0</v>
      </c>
      <c r="BC22" s="185">
        <f>SUM(AN22:BB22)*Générale!$B$27</f>
        <v>0</v>
      </c>
      <c r="BE22" s="118" t="s">
        <v>37</v>
      </c>
      <c r="BF22" s="118">
        <f>C22*Navires!$B$6</f>
        <v>0</v>
      </c>
      <c r="BG22" s="118">
        <f>D22*Navires!$B$6</f>
        <v>0</v>
      </c>
      <c r="BH22" s="118">
        <f>E22*Navires!$B$6</f>
        <v>0</v>
      </c>
      <c r="BI22" s="118">
        <f>F22*Navires!$B$6</f>
        <v>0</v>
      </c>
      <c r="BJ22" s="118">
        <f>G22*Navires!$B$6</f>
        <v>0</v>
      </c>
      <c r="BK22" s="118">
        <f>H22*Navires!$B$6</f>
        <v>0</v>
      </c>
      <c r="BL22" s="118">
        <f>I22*Navires!$B$6</f>
        <v>0</v>
      </c>
      <c r="BM22" s="118">
        <f>J22*Navires!$B$6</f>
        <v>0</v>
      </c>
      <c r="BN22" s="118">
        <f>K22*Navires!$B$6</f>
        <v>0</v>
      </c>
      <c r="BO22" s="118">
        <f>L22*Navires!$B$6</f>
        <v>0</v>
      </c>
      <c r="BP22" s="118">
        <f>M22*Navires!$B$6</f>
        <v>0</v>
      </c>
      <c r="BQ22" s="118">
        <f>N22*Navires!$B$6</f>
        <v>0</v>
      </c>
      <c r="BR22" s="118">
        <f>O22*Navires!$B$6</f>
        <v>0</v>
      </c>
      <c r="BS22" s="118">
        <f>P22*Navires!$B$6</f>
        <v>0</v>
      </c>
      <c r="BT22" s="118">
        <f>Q22*Navires!$B$6</f>
        <v>0</v>
      </c>
      <c r="BU22" s="185">
        <f>SUM(BF22:BT22)*Générale!$B$23</f>
        <v>0</v>
      </c>
    </row>
    <row r="23" spans="1:73" x14ac:dyDescent="0.25">
      <c r="A23" t="s">
        <v>50</v>
      </c>
      <c r="B23" s="2" t="s">
        <v>38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/>
      <c r="J23" s="2"/>
      <c r="K23" s="2"/>
      <c r="L23" s="2"/>
      <c r="M23" s="2"/>
      <c r="N23" s="2"/>
      <c r="O23" s="2"/>
      <c r="P23" s="2"/>
      <c r="Q23" s="32"/>
      <c r="R23" s="34">
        <f t="shared" si="6"/>
        <v>0</v>
      </c>
      <c r="S23" s="82">
        <f t="shared" si="7"/>
        <v>0</v>
      </c>
      <c r="U23" s="2" t="s">
        <v>38</v>
      </c>
      <c r="V23" s="2">
        <f>C23*Navires!$B$2</f>
        <v>0</v>
      </c>
      <c r="W23" s="2">
        <f>D23*Navires!$C$2</f>
        <v>0</v>
      </c>
      <c r="X23" s="2">
        <f>E23*Navires!$D$2</f>
        <v>0</v>
      </c>
      <c r="Y23" s="2">
        <f>F23*Navires!$E$2</f>
        <v>0</v>
      </c>
      <c r="Z23" s="2">
        <f>G23*Navires!$F$2</f>
        <v>0</v>
      </c>
      <c r="AA23" s="2">
        <f>H23*Navires!$G$2</f>
        <v>0</v>
      </c>
      <c r="AB23" s="2">
        <f>I23*Navires!$H$2</f>
        <v>0</v>
      </c>
      <c r="AC23" s="2">
        <f>J23*Navires!$I$2</f>
        <v>0</v>
      </c>
      <c r="AD23" s="2">
        <f>K23*Navires!$J$2</f>
        <v>0</v>
      </c>
      <c r="AE23" s="2">
        <f>L23*Navires!$K$2</f>
        <v>0</v>
      </c>
      <c r="AF23" s="2">
        <f>M23*Navires!$L$2</f>
        <v>0</v>
      </c>
      <c r="AG23" s="2">
        <f>N23*Navires!$M$2</f>
        <v>0</v>
      </c>
      <c r="AH23" s="2">
        <f>O23*Navires!$N$2</f>
        <v>0</v>
      </c>
      <c r="AI23" s="2">
        <f>P23*Navires!$O$2</f>
        <v>0</v>
      </c>
      <c r="AJ23" s="2">
        <f>Q23*Navires!$P$2</f>
        <v>0</v>
      </c>
      <c r="AK23" s="35">
        <f>(SUM(V23:AJ23))*Générale!$B9</f>
        <v>0</v>
      </c>
      <c r="AM23" s="118" t="s">
        <v>38</v>
      </c>
      <c r="AN23" s="118">
        <f>C23*Navires!$B$6</f>
        <v>0</v>
      </c>
      <c r="AO23" s="118">
        <f>D23*Navires!$C$6</f>
        <v>0</v>
      </c>
      <c r="AP23" s="118">
        <f>E23*Navires!$D$6</f>
        <v>0</v>
      </c>
      <c r="AQ23" s="118">
        <f>F23*Navires!$E$6</f>
        <v>0</v>
      </c>
      <c r="AR23" s="118">
        <f>G23*Navires!$F$6</f>
        <v>0</v>
      </c>
      <c r="AS23" s="118">
        <f>H23*Navires!$G$6</f>
        <v>0</v>
      </c>
      <c r="AT23" s="118">
        <f>I23*Navires!$H$6</f>
        <v>0</v>
      </c>
      <c r="AU23" s="118">
        <f>J23*Navires!$I$6</f>
        <v>0</v>
      </c>
      <c r="AV23" s="118">
        <f>K23*Navires!$J$6</f>
        <v>0</v>
      </c>
      <c r="AW23" s="118">
        <f>L23*Navires!$K$6</f>
        <v>0</v>
      </c>
      <c r="AX23" s="118">
        <f>M23*Navires!$L$6</f>
        <v>0</v>
      </c>
      <c r="AY23" s="118">
        <f>N23*Navires!$M$6</f>
        <v>0</v>
      </c>
      <c r="AZ23" s="118">
        <f>O23*Navires!$N$6</f>
        <v>0</v>
      </c>
      <c r="BA23" s="118">
        <f>P23*Navires!$O$6</f>
        <v>0</v>
      </c>
      <c r="BB23" s="118">
        <f>Q23*Navires!$P$6</f>
        <v>0</v>
      </c>
      <c r="BC23" s="185">
        <f>SUM(AN23:BB23)*Générale!$B$27</f>
        <v>0</v>
      </c>
      <c r="BE23" s="118" t="s">
        <v>38</v>
      </c>
      <c r="BF23" s="118">
        <f>C23*Navires!$B$6</f>
        <v>0</v>
      </c>
      <c r="BG23" s="118">
        <f>D23*Navires!$B$6</f>
        <v>0</v>
      </c>
      <c r="BH23" s="118">
        <f>E23*Navires!$B$6</f>
        <v>0</v>
      </c>
      <c r="BI23" s="118">
        <f>F23*Navires!$B$6</f>
        <v>0</v>
      </c>
      <c r="BJ23" s="118">
        <f>G23*Navires!$B$6</f>
        <v>0</v>
      </c>
      <c r="BK23" s="118">
        <f>H23*Navires!$B$6</f>
        <v>0</v>
      </c>
      <c r="BL23" s="118">
        <f>I23*Navires!$B$6</f>
        <v>0</v>
      </c>
      <c r="BM23" s="118">
        <f>J23*Navires!$B$6</f>
        <v>0</v>
      </c>
      <c r="BN23" s="118">
        <f>K23*Navires!$B$6</f>
        <v>0</v>
      </c>
      <c r="BO23" s="118">
        <f>L23*Navires!$B$6</f>
        <v>0</v>
      </c>
      <c r="BP23" s="118">
        <f>M23*Navires!$B$6</f>
        <v>0</v>
      </c>
      <c r="BQ23" s="118">
        <f>N23*Navires!$B$6</f>
        <v>0</v>
      </c>
      <c r="BR23" s="118">
        <f>O23*Navires!$B$6</f>
        <v>0</v>
      </c>
      <c r="BS23" s="118">
        <f>P23*Navires!$B$6</f>
        <v>0</v>
      </c>
      <c r="BT23" s="118">
        <f>Q23*Navires!$B$6</f>
        <v>0</v>
      </c>
      <c r="BU23" s="185">
        <f>SUM(BF23:BT23)*Générale!$B$23</f>
        <v>0</v>
      </c>
    </row>
    <row r="24" spans="1:73" x14ac:dyDescent="0.25">
      <c r="A24" t="s">
        <v>51</v>
      </c>
      <c r="B24" s="2" t="s">
        <v>39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/>
      <c r="J24" s="2"/>
      <c r="K24" s="2"/>
      <c r="L24" s="2"/>
      <c r="M24" s="2"/>
      <c r="N24" s="2"/>
      <c r="O24" s="2"/>
      <c r="P24" s="2"/>
      <c r="Q24" s="32"/>
      <c r="R24" s="34">
        <f t="shared" si="6"/>
        <v>0</v>
      </c>
      <c r="S24" s="82">
        <f t="shared" si="7"/>
        <v>0</v>
      </c>
      <c r="U24" s="2" t="s">
        <v>39</v>
      </c>
      <c r="V24" s="2">
        <f>C24*Navires!$B$2</f>
        <v>0</v>
      </c>
      <c r="W24" s="2">
        <f>D24*Navires!$C$2</f>
        <v>0</v>
      </c>
      <c r="X24" s="2">
        <f>E24*Navires!$D$2</f>
        <v>0</v>
      </c>
      <c r="Y24" s="2">
        <f>F24*Navires!$E$2</f>
        <v>0</v>
      </c>
      <c r="Z24" s="2">
        <f>G24*Navires!$F$2</f>
        <v>0</v>
      </c>
      <c r="AA24" s="2">
        <f>H24*Navires!$G$2</f>
        <v>0</v>
      </c>
      <c r="AB24" s="2">
        <f>I24*Navires!$H$2</f>
        <v>0</v>
      </c>
      <c r="AC24" s="2">
        <f>J24*Navires!$I$2</f>
        <v>0</v>
      </c>
      <c r="AD24" s="2">
        <f>K24*Navires!$J$2</f>
        <v>0</v>
      </c>
      <c r="AE24" s="2">
        <f>L24*Navires!$K$2</f>
        <v>0</v>
      </c>
      <c r="AF24" s="2">
        <f>M24*Navires!$L$2</f>
        <v>0</v>
      </c>
      <c r="AG24" s="2">
        <f>N24*Navires!$M$2</f>
        <v>0</v>
      </c>
      <c r="AH24" s="2">
        <f>O24*Navires!$N$2</f>
        <v>0</v>
      </c>
      <c r="AI24" s="2">
        <f>P24*Navires!$O$2</f>
        <v>0</v>
      </c>
      <c r="AJ24" s="2">
        <f>Q24*Navires!$P$2</f>
        <v>0</v>
      </c>
      <c r="AK24" s="35">
        <f>(SUM(V24:AJ24))*Générale!$B10</f>
        <v>0</v>
      </c>
      <c r="AM24" s="118" t="s">
        <v>39</v>
      </c>
      <c r="AN24" s="118">
        <f>C24*Navires!$B$6</f>
        <v>0</v>
      </c>
      <c r="AO24" s="118">
        <f>D24*Navires!$C$6</f>
        <v>0</v>
      </c>
      <c r="AP24" s="118">
        <f>E24*Navires!$D$6</f>
        <v>0</v>
      </c>
      <c r="AQ24" s="118">
        <f>F24*Navires!$E$6</f>
        <v>0</v>
      </c>
      <c r="AR24" s="118">
        <f>G24*Navires!$F$6</f>
        <v>0</v>
      </c>
      <c r="AS24" s="118">
        <f>H24*Navires!$G$6</f>
        <v>0</v>
      </c>
      <c r="AT24" s="118">
        <f>I24*Navires!$H$6</f>
        <v>0</v>
      </c>
      <c r="AU24" s="118">
        <f>J24*Navires!$I$6</f>
        <v>0</v>
      </c>
      <c r="AV24" s="118">
        <f>K24*Navires!$J$6</f>
        <v>0</v>
      </c>
      <c r="AW24" s="118">
        <f>L24*Navires!$K$6</f>
        <v>0</v>
      </c>
      <c r="AX24" s="118">
        <f>M24*Navires!$L$6</f>
        <v>0</v>
      </c>
      <c r="AY24" s="118">
        <f>N24*Navires!$M$6</f>
        <v>0</v>
      </c>
      <c r="AZ24" s="118">
        <f>O24*Navires!$N$6</f>
        <v>0</v>
      </c>
      <c r="BA24" s="118">
        <f>P24*Navires!$O$6</f>
        <v>0</v>
      </c>
      <c r="BB24" s="118">
        <f>Q24*Navires!$P$6</f>
        <v>0</v>
      </c>
      <c r="BC24" s="185">
        <f>SUM(AN24:BB24)*Générale!$B$27</f>
        <v>0</v>
      </c>
      <c r="BE24" s="118" t="s">
        <v>39</v>
      </c>
      <c r="BF24" s="118">
        <f>C24*Navires!$B$6</f>
        <v>0</v>
      </c>
      <c r="BG24" s="118">
        <f>D24*Navires!$B$6</f>
        <v>0</v>
      </c>
      <c r="BH24" s="118">
        <f>E24*Navires!$B$6</f>
        <v>0</v>
      </c>
      <c r="BI24" s="118">
        <f>F24*Navires!$B$6</f>
        <v>0</v>
      </c>
      <c r="BJ24" s="118">
        <f>G24*Navires!$B$6</f>
        <v>0</v>
      </c>
      <c r="BK24" s="118">
        <f>H24*Navires!$B$6</f>
        <v>0</v>
      </c>
      <c r="BL24" s="118">
        <f>I24*Navires!$B$6</f>
        <v>0</v>
      </c>
      <c r="BM24" s="118">
        <f>J24*Navires!$B$6</f>
        <v>0</v>
      </c>
      <c r="BN24" s="118">
        <f>K24*Navires!$B$6</f>
        <v>0</v>
      </c>
      <c r="BO24" s="118">
        <f>L24*Navires!$B$6</f>
        <v>0</v>
      </c>
      <c r="BP24" s="118">
        <f>M24*Navires!$B$6</f>
        <v>0</v>
      </c>
      <c r="BQ24" s="118">
        <f>N24*Navires!$B$6</f>
        <v>0</v>
      </c>
      <c r="BR24" s="118">
        <f>O24*Navires!$B$6</f>
        <v>0</v>
      </c>
      <c r="BS24" s="118">
        <f>P24*Navires!$B$6</f>
        <v>0</v>
      </c>
      <c r="BT24" s="118">
        <f>Q24*Navires!$B$6</f>
        <v>0</v>
      </c>
      <c r="BU24" s="185">
        <f>SUM(BF24:BT24)*Générale!$B$22</f>
        <v>0</v>
      </c>
    </row>
    <row r="25" spans="1:73" x14ac:dyDescent="0.25">
      <c r="A25" t="s">
        <v>52</v>
      </c>
      <c r="B25" s="2" t="s">
        <v>40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/>
      <c r="J25" s="2"/>
      <c r="K25" s="2"/>
      <c r="L25" s="2"/>
      <c r="M25" s="2"/>
      <c r="N25" s="2"/>
      <c r="O25" s="2"/>
      <c r="P25" s="2"/>
      <c r="Q25" s="32"/>
      <c r="R25" s="34">
        <f t="shared" si="6"/>
        <v>0</v>
      </c>
      <c r="S25" s="82">
        <f t="shared" si="7"/>
        <v>0</v>
      </c>
      <c r="U25" s="2" t="s">
        <v>40</v>
      </c>
      <c r="V25" s="2">
        <f>C25*Navires!$B$2</f>
        <v>0</v>
      </c>
      <c r="W25" s="2">
        <f>D25*Navires!$C$2</f>
        <v>0</v>
      </c>
      <c r="X25" s="2">
        <f>E25*Navires!$D$2</f>
        <v>0</v>
      </c>
      <c r="Y25" s="2">
        <f>F25*Navires!$E$2</f>
        <v>0</v>
      </c>
      <c r="Z25" s="2">
        <f>G25*Navires!$F$2</f>
        <v>0</v>
      </c>
      <c r="AA25" s="2">
        <f>H25*Navires!$G$2</f>
        <v>0</v>
      </c>
      <c r="AB25" s="2">
        <f>I25*Navires!$H$2</f>
        <v>0</v>
      </c>
      <c r="AC25" s="2">
        <f>J25*Navires!$I$2</f>
        <v>0</v>
      </c>
      <c r="AD25" s="2">
        <f>K25*Navires!$J$2</f>
        <v>0</v>
      </c>
      <c r="AE25" s="2">
        <f>L25*Navires!$K$2</f>
        <v>0</v>
      </c>
      <c r="AF25" s="2">
        <f>M25*Navires!$L$2</f>
        <v>0</v>
      </c>
      <c r="AG25" s="2">
        <f>N25*Navires!$M$2</f>
        <v>0</v>
      </c>
      <c r="AH25" s="2">
        <f>O25*Navires!$N$2</f>
        <v>0</v>
      </c>
      <c r="AI25" s="2">
        <f>P25*Navires!$O$2</f>
        <v>0</v>
      </c>
      <c r="AJ25" s="2">
        <f>Q25*Navires!$P$2</f>
        <v>0</v>
      </c>
      <c r="AK25" s="35">
        <f>(SUM(V25:AJ25))*Générale!$B11</f>
        <v>0</v>
      </c>
      <c r="AM25" s="118" t="s">
        <v>40</v>
      </c>
      <c r="AN25" s="118">
        <f>C25*Navires!$B$6</f>
        <v>0</v>
      </c>
      <c r="AO25" s="118">
        <f>D25*Navires!$C$6</f>
        <v>0</v>
      </c>
      <c r="AP25" s="118">
        <f>E25*Navires!$D$6</f>
        <v>0</v>
      </c>
      <c r="AQ25" s="118">
        <f>F25*Navires!$E$6</f>
        <v>0</v>
      </c>
      <c r="AR25" s="118">
        <f>G25*Navires!$F$6</f>
        <v>0</v>
      </c>
      <c r="AS25" s="118">
        <f>H25*Navires!$G$6</f>
        <v>0</v>
      </c>
      <c r="AT25" s="118">
        <f>I25*Navires!$H$6</f>
        <v>0</v>
      </c>
      <c r="AU25" s="118">
        <f>J25*Navires!$I$6</f>
        <v>0</v>
      </c>
      <c r="AV25" s="118">
        <f>K25*Navires!$J$6</f>
        <v>0</v>
      </c>
      <c r="AW25" s="118">
        <f>L25*Navires!$K$6</f>
        <v>0</v>
      </c>
      <c r="AX25" s="118">
        <f>M25*Navires!$L$6</f>
        <v>0</v>
      </c>
      <c r="AY25" s="118">
        <f>N25*Navires!$M$6</f>
        <v>0</v>
      </c>
      <c r="AZ25" s="118">
        <f>O25*Navires!$N$6</f>
        <v>0</v>
      </c>
      <c r="BA25" s="118">
        <f>P25*Navires!$O$6</f>
        <v>0</v>
      </c>
      <c r="BB25" s="118">
        <f>Q25*Navires!$P$6</f>
        <v>0</v>
      </c>
      <c r="BC25" s="185">
        <f>SUM(AN25:BB25)*Générale!$B$26</f>
        <v>0</v>
      </c>
      <c r="BE25" s="118" t="s">
        <v>40</v>
      </c>
      <c r="BF25" s="118">
        <f>C25*Navires!$B$6</f>
        <v>0</v>
      </c>
      <c r="BG25" s="118">
        <f>D25*Navires!$B$6</f>
        <v>0</v>
      </c>
      <c r="BH25" s="118">
        <f>E25*Navires!$B$6</f>
        <v>0</v>
      </c>
      <c r="BI25" s="118">
        <f>F25*Navires!$B$6</f>
        <v>0</v>
      </c>
      <c r="BJ25" s="118">
        <f>G25*Navires!$B$6</f>
        <v>0</v>
      </c>
      <c r="BK25" s="118">
        <f>H25*Navires!$B$6</f>
        <v>0</v>
      </c>
      <c r="BL25" s="118">
        <f>I25*Navires!$B$6</f>
        <v>0</v>
      </c>
      <c r="BM25" s="118">
        <f>J25*Navires!$B$6</f>
        <v>0</v>
      </c>
      <c r="BN25" s="118">
        <f>K25*Navires!$B$6</f>
        <v>0</v>
      </c>
      <c r="BO25" s="118">
        <f>L25*Navires!$B$6</f>
        <v>0</v>
      </c>
      <c r="BP25" s="118">
        <f>M25*Navires!$B$6</f>
        <v>0</v>
      </c>
      <c r="BQ25" s="118">
        <f>N25*Navires!$B$6</f>
        <v>0</v>
      </c>
      <c r="BR25" s="118">
        <f>O25*Navires!$B$6</f>
        <v>0</v>
      </c>
      <c r="BS25" s="118">
        <f>P25*Navires!$B$6</f>
        <v>0</v>
      </c>
      <c r="BT25" s="118">
        <f>Q25*Navires!$B$6</f>
        <v>0</v>
      </c>
      <c r="BU25" s="185">
        <f>SUM(BF25:BT25)*Générale!$B$22</f>
        <v>0</v>
      </c>
    </row>
    <row r="26" spans="1:73" x14ac:dyDescent="0.25">
      <c r="A26" t="s">
        <v>53</v>
      </c>
      <c r="B26" s="2" t="s">
        <v>41</v>
      </c>
      <c r="C26" s="2">
        <v>1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/>
      <c r="J26" s="2"/>
      <c r="K26" s="2"/>
      <c r="L26" s="2"/>
      <c r="M26" s="2"/>
      <c r="N26" s="2"/>
      <c r="O26" s="2"/>
      <c r="P26" s="2"/>
      <c r="Q26" s="32"/>
      <c r="R26" s="34">
        <f t="shared" si="6"/>
        <v>2</v>
      </c>
      <c r="S26" s="82">
        <f t="shared" si="7"/>
        <v>0.46728971962616822</v>
      </c>
      <c r="U26" s="2" t="s">
        <v>41</v>
      </c>
      <c r="V26" s="2">
        <f>C26*Navires!$B$2</f>
        <v>1955</v>
      </c>
      <c r="W26" s="2">
        <f>D26*Navires!$C$2</f>
        <v>0</v>
      </c>
      <c r="X26" s="2">
        <f>E26*Navires!$D$2</f>
        <v>0</v>
      </c>
      <c r="Y26" s="2">
        <f>F26*Navires!$E$2</f>
        <v>1880</v>
      </c>
      <c r="Z26" s="2">
        <f>G26*Navires!$F$2</f>
        <v>0</v>
      </c>
      <c r="AA26" s="2">
        <f>H26*Navires!$G$2</f>
        <v>0</v>
      </c>
      <c r="AB26" s="2">
        <f>I26*Navires!$H$2</f>
        <v>0</v>
      </c>
      <c r="AC26" s="2">
        <f>J26*Navires!$I$2</f>
        <v>0</v>
      </c>
      <c r="AD26" s="2">
        <f>K26*Navires!$J$2</f>
        <v>0</v>
      </c>
      <c r="AE26" s="2">
        <f>L26*Navires!$K$2</f>
        <v>0</v>
      </c>
      <c r="AF26" s="2">
        <f>M26*Navires!$L$2</f>
        <v>0</v>
      </c>
      <c r="AG26" s="2">
        <f>N26*Navires!$M$2</f>
        <v>0</v>
      </c>
      <c r="AH26" s="2">
        <f>O26*Navires!$N$2</f>
        <v>0</v>
      </c>
      <c r="AI26" s="2">
        <f>P26*Navires!$O$2</f>
        <v>0</v>
      </c>
      <c r="AJ26" s="2">
        <f>Q26*Navires!$P$2</f>
        <v>0</v>
      </c>
      <c r="AK26" s="35">
        <f>(SUM(V26:AJ26))*Générale!$B12</f>
        <v>3835</v>
      </c>
      <c r="AM26" s="118" t="s">
        <v>41</v>
      </c>
      <c r="AN26" s="118">
        <f>C26*Navires!$B$6</f>
        <v>570.4</v>
      </c>
      <c r="AO26" s="118">
        <f>D26*Navires!$C$6</f>
        <v>0</v>
      </c>
      <c r="AP26" s="118">
        <f>E26*Navires!$D$6</f>
        <v>0</v>
      </c>
      <c r="AQ26" s="118">
        <f>F26*Navires!$E$6</f>
        <v>1228</v>
      </c>
      <c r="AR26" s="118">
        <f>G26*Navires!$F$6</f>
        <v>0</v>
      </c>
      <c r="AS26" s="118">
        <f>H26*Navires!$G$6</f>
        <v>0</v>
      </c>
      <c r="AT26" s="118">
        <f>I26*Navires!$H$6</f>
        <v>0</v>
      </c>
      <c r="AU26" s="118">
        <f>J26*Navires!$I$6</f>
        <v>0</v>
      </c>
      <c r="AV26" s="118">
        <f>K26*Navires!$J$6</f>
        <v>0</v>
      </c>
      <c r="AW26" s="118">
        <f>L26*Navires!$K$6</f>
        <v>0</v>
      </c>
      <c r="AX26" s="118">
        <f>M26*Navires!$L$6</f>
        <v>0</v>
      </c>
      <c r="AY26" s="118">
        <f>N26*Navires!$M$6</f>
        <v>0</v>
      </c>
      <c r="AZ26" s="118">
        <f>O26*Navires!$N$6</f>
        <v>0</v>
      </c>
      <c r="BA26" s="118">
        <f>P26*Navires!$O$6</f>
        <v>0</v>
      </c>
      <c r="BB26" s="118">
        <f>Q26*Navires!$P$6</f>
        <v>0</v>
      </c>
      <c r="BC26" s="185">
        <f>SUM(AN26:BB26)*Générale!$B$26</f>
        <v>539.52</v>
      </c>
      <c r="BE26" s="118" t="s">
        <v>41</v>
      </c>
      <c r="BF26" s="118">
        <f>C26*Navires!$B$6</f>
        <v>570.4</v>
      </c>
      <c r="BG26" s="118">
        <f>D26*Navires!$B$6</f>
        <v>0</v>
      </c>
      <c r="BH26" s="118">
        <f>E26*Navires!$B$6</f>
        <v>0</v>
      </c>
      <c r="BI26" s="118">
        <f>F26*Navires!$B$6</f>
        <v>570.4</v>
      </c>
      <c r="BJ26" s="118">
        <f>G26*Navires!$B$6</f>
        <v>0</v>
      </c>
      <c r="BK26" s="118">
        <f>H26*Navires!$B$6</f>
        <v>0</v>
      </c>
      <c r="BL26" s="118">
        <f>I26*Navires!$B$6</f>
        <v>0</v>
      </c>
      <c r="BM26" s="118">
        <f>J26*Navires!$B$6</f>
        <v>0</v>
      </c>
      <c r="BN26" s="118">
        <f>K26*Navires!$B$6</f>
        <v>0</v>
      </c>
      <c r="BO26" s="118">
        <f>L26*Navires!$B$6</f>
        <v>0</v>
      </c>
      <c r="BP26" s="118">
        <f>M26*Navires!$B$6</f>
        <v>0</v>
      </c>
      <c r="BQ26" s="118">
        <f>N26*Navires!$B$6</f>
        <v>0</v>
      </c>
      <c r="BR26" s="118">
        <f>O26*Navires!$B$6</f>
        <v>0</v>
      </c>
      <c r="BS26" s="118">
        <f>P26*Navires!$B$6</f>
        <v>0</v>
      </c>
      <c r="BT26" s="118">
        <f>Q26*Navires!$B$6</f>
        <v>0</v>
      </c>
      <c r="BU26" s="185">
        <f>SUM(BF26:BT26)*Générale!$B$22</f>
        <v>1939.36</v>
      </c>
    </row>
    <row r="27" spans="1:73" x14ac:dyDescent="0.25">
      <c r="A27" t="s">
        <v>54</v>
      </c>
      <c r="B27" s="2" t="s">
        <v>42</v>
      </c>
      <c r="C27" s="2">
        <v>0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/>
      <c r="J27" s="2"/>
      <c r="K27" s="2"/>
      <c r="L27" s="2"/>
      <c r="M27" s="2"/>
      <c r="N27" s="2"/>
      <c r="O27" s="2"/>
      <c r="P27" s="2"/>
      <c r="Q27" s="32"/>
      <c r="R27" s="34">
        <f t="shared" si="6"/>
        <v>1</v>
      </c>
      <c r="S27" s="82">
        <f t="shared" si="7"/>
        <v>0.22573363431151244</v>
      </c>
      <c r="U27" s="2" t="s">
        <v>42</v>
      </c>
      <c r="V27" s="2">
        <f>C27*Navires!$B$2</f>
        <v>0</v>
      </c>
      <c r="W27" s="2">
        <f>D27*Navires!$C$2</f>
        <v>0</v>
      </c>
      <c r="X27" s="2">
        <f>E27*Navires!$D$2</f>
        <v>0</v>
      </c>
      <c r="Y27" s="2">
        <f>F27*Navires!$E$2</f>
        <v>0</v>
      </c>
      <c r="Z27" s="2">
        <f>G27*Navires!$F$2</f>
        <v>1896</v>
      </c>
      <c r="AA27" s="2">
        <f>H27*Navires!$G$2</f>
        <v>0</v>
      </c>
      <c r="AB27" s="2">
        <f>I27*Navires!$H$2</f>
        <v>0</v>
      </c>
      <c r="AC27" s="2">
        <f>J27*Navires!$I$2</f>
        <v>0</v>
      </c>
      <c r="AD27" s="2">
        <f>K27*Navires!$J$2</f>
        <v>0</v>
      </c>
      <c r="AE27" s="2">
        <f>L27*Navires!$K$2</f>
        <v>0</v>
      </c>
      <c r="AF27" s="2">
        <f>M27*Navires!$L$2</f>
        <v>0</v>
      </c>
      <c r="AG27" s="2">
        <f>N27*Navires!$M$2</f>
        <v>0</v>
      </c>
      <c r="AH27" s="2">
        <f>O27*Navires!$N$2</f>
        <v>0</v>
      </c>
      <c r="AI27" s="2">
        <f>P27*Navires!$O$2</f>
        <v>0</v>
      </c>
      <c r="AJ27" s="2">
        <f>Q27*Navires!$P$2</f>
        <v>0</v>
      </c>
      <c r="AK27" s="35">
        <f>(SUM(V27:AJ27))*Générale!$B13</f>
        <v>1896</v>
      </c>
      <c r="AM27" s="118" t="s">
        <v>42</v>
      </c>
      <c r="AN27" s="118">
        <f>C27*Navires!$B$6</f>
        <v>0</v>
      </c>
      <c r="AO27" s="118">
        <f>D27*Navires!$C$6</f>
        <v>0</v>
      </c>
      <c r="AP27" s="118">
        <f>E27*Navires!$D$6</f>
        <v>0</v>
      </c>
      <c r="AQ27" s="118">
        <f>F27*Navires!$E$6</f>
        <v>0</v>
      </c>
      <c r="AR27" s="118">
        <f>G27*Navires!$F$6</f>
        <v>680.80000000000007</v>
      </c>
      <c r="AS27" s="118">
        <f>H27*Navires!$G$6</f>
        <v>0</v>
      </c>
      <c r="AT27" s="118">
        <f>I27*Navires!$H$6</f>
        <v>0</v>
      </c>
      <c r="AU27" s="118">
        <f>J27*Navires!$I$6</f>
        <v>0</v>
      </c>
      <c r="AV27" s="118">
        <f>K27*Navires!$J$6</f>
        <v>0</v>
      </c>
      <c r="AW27" s="118">
        <f>L27*Navires!$K$6</f>
        <v>0</v>
      </c>
      <c r="AX27" s="118">
        <f>M27*Navires!$L$6</f>
        <v>0</v>
      </c>
      <c r="AY27" s="118">
        <f>N27*Navires!$M$6</f>
        <v>0</v>
      </c>
      <c r="AZ27" s="118">
        <f>O27*Navires!$N$6</f>
        <v>0</v>
      </c>
      <c r="BA27" s="118">
        <f>P27*Navires!$O$6</f>
        <v>0</v>
      </c>
      <c r="BB27" s="118">
        <f>Q27*Navires!$P$6</f>
        <v>0</v>
      </c>
      <c r="BC27" s="185">
        <f>SUM(AN27:BB27)*Générale!$B$26</f>
        <v>204.24</v>
      </c>
      <c r="BE27" s="118" t="s">
        <v>42</v>
      </c>
      <c r="BF27" s="118">
        <f>C27*Navires!$B$6</f>
        <v>0</v>
      </c>
      <c r="BG27" s="118">
        <f>D27*Navires!$B$6</f>
        <v>0</v>
      </c>
      <c r="BH27" s="118">
        <f>E27*Navires!$B$6</f>
        <v>0</v>
      </c>
      <c r="BI27" s="118">
        <f>F27*Navires!$B$6</f>
        <v>0</v>
      </c>
      <c r="BJ27" s="118">
        <f>G27*Navires!$B$6</f>
        <v>570.4</v>
      </c>
      <c r="BK27" s="118">
        <f>H27*Navires!$B$6</f>
        <v>0</v>
      </c>
      <c r="BL27" s="118">
        <f>I27*Navires!$B$6</f>
        <v>0</v>
      </c>
      <c r="BM27" s="118">
        <f>J27*Navires!$B$6</f>
        <v>0</v>
      </c>
      <c r="BN27" s="118">
        <f>K27*Navires!$B$6</f>
        <v>0</v>
      </c>
      <c r="BO27" s="118">
        <f>L27*Navires!$B$6</f>
        <v>0</v>
      </c>
      <c r="BP27" s="118">
        <f>M27*Navires!$B$6</f>
        <v>0</v>
      </c>
      <c r="BQ27" s="118">
        <f>N27*Navires!$B$6</f>
        <v>0</v>
      </c>
      <c r="BR27" s="118">
        <f>O27*Navires!$B$6</f>
        <v>0</v>
      </c>
      <c r="BS27" s="118">
        <f>P27*Navires!$B$6</f>
        <v>0</v>
      </c>
      <c r="BT27" s="118">
        <f>Q27*Navires!$B$6</f>
        <v>0</v>
      </c>
      <c r="BU27" s="185">
        <f>SUM(BF27:BT27)*Générale!$B$22</f>
        <v>969.68</v>
      </c>
    </row>
    <row r="28" spans="1:73" x14ac:dyDescent="0.25">
      <c r="A28" t="s">
        <v>55</v>
      </c>
      <c r="B28" s="2" t="s">
        <v>43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/>
      <c r="J28" s="2"/>
      <c r="K28" s="2"/>
      <c r="L28" s="2"/>
      <c r="M28" s="2"/>
      <c r="N28" s="2"/>
      <c r="O28" s="2"/>
      <c r="P28" s="2">
        <v>5</v>
      </c>
      <c r="Q28" s="32"/>
      <c r="R28" s="34">
        <f t="shared" si="6"/>
        <v>5</v>
      </c>
      <c r="S28" s="82">
        <f t="shared" si="7"/>
        <v>1.1286681715575622</v>
      </c>
      <c r="U28" s="2" t="s">
        <v>43</v>
      </c>
      <c r="V28" s="2">
        <f>C28*Navires!$B$2</f>
        <v>0</v>
      </c>
      <c r="W28" s="2">
        <f>D28*Navires!$C$2</f>
        <v>0</v>
      </c>
      <c r="X28" s="2">
        <f>E28*Navires!$D$2</f>
        <v>0</v>
      </c>
      <c r="Y28" s="2">
        <f>F28*Navires!$E$2</f>
        <v>0</v>
      </c>
      <c r="Z28" s="2">
        <f>G28*Navires!$F$2</f>
        <v>0</v>
      </c>
      <c r="AA28" s="2">
        <f>H28*Navires!$G$2</f>
        <v>0</v>
      </c>
      <c r="AB28" s="2">
        <f>I28*Navires!$H$2</f>
        <v>0</v>
      </c>
      <c r="AC28" s="2">
        <f>J28*Navires!$I$2</f>
        <v>0</v>
      </c>
      <c r="AD28" s="2">
        <f>K28*Navires!$J$2</f>
        <v>0</v>
      </c>
      <c r="AE28" s="2">
        <f>L28*Navires!$K$2</f>
        <v>0</v>
      </c>
      <c r="AF28" s="2">
        <f>M28*Navires!$L$2</f>
        <v>0</v>
      </c>
      <c r="AG28" s="2">
        <f>N28*Navires!$M$2</f>
        <v>0</v>
      </c>
      <c r="AH28" s="2">
        <f>O28*Navires!$N$2</f>
        <v>0</v>
      </c>
      <c r="AI28" s="2">
        <f>P28*Navires!$O$2</f>
        <v>7500</v>
      </c>
      <c r="AJ28" s="2">
        <f>Q28*Navires!$P$2</f>
        <v>0</v>
      </c>
      <c r="AK28" s="35">
        <f>(SUM(V28:AJ28))*Générale!$B14</f>
        <v>7500</v>
      </c>
      <c r="AM28" s="118" t="s">
        <v>43</v>
      </c>
      <c r="AN28" s="118">
        <f>C28*Navires!$B$6</f>
        <v>0</v>
      </c>
      <c r="AO28" s="118">
        <f>D28*Navires!$C$6</f>
        <v>0</v>
      </c>
      <c r="AP28" s="118">
        <f>E28*Navires!$D$6</f>
        <v>0</v>
      </c>
      <c r="AQ28" s="118">
        <f>F28*Navires!$E$6</f>
        <v>0</v>
      </c>
      <c r="AR28" s="118">
        <f>G28*Navires!$F$6</f>
        <v>0</v>
      </c>
      <c r="AS28" s="118">
        <f>H28*Navires!$G$6</f>
        <v>0</v>
      </c>
      <c r="AT28" s="118">
        <f>I28*Navires!$H$6</f>
        <v>0</v>
      </c>
      <c r="AU28" s="118">
        <f>J28*Navires!$I$6</f>
        <v>0</v>
      </c>
      <c r="AV28" s="118">
        <f>K28*Navires!$J$6</f>
        <v>0</v>
      </c>
      <c r="AW28" s="118">
        <f>L28*Navires!$K$6</f>
        <v>0</v>
      </c>
      <c r="AX28" s="118">
        <f>M28*Navires!$L$6</f>
        <v>0</v>
      </c>
      <c r="AY28" s="118">
        <f>N28*Navires!$M$6</f>
        <v>0</v>
      </c>
      <c r="AZ28" s="118">
        <f>O28*Navires!$N$6</f>
        <v>0</v>
      </c>
      <c r="BA28" s="118">
        <f>P28*Navires!$O$6</f>
        <v>3200</v>
      </c>
      <c r="BB28" s="118">
        <f>Q28*Navires!$P$6</f>
        <v>0</v>
      </c>
      <c r="BC28" s="185">
        <f>SUM(AN28:BB28)*Générale!$B$26</f>
        <v>960</v>
      </c>
      <c r="BE28" s="118" t="s">
        <v>43</v>
      </c>
      <c r="BF28" s="118">
        <f>C28*Navires!$B$6</f>
        <v>0</v>
      </c>
      <c r="BG28" s="118">
        <f>D28*Navires!$B$6</f>
        <v>0</v>
      </c>
      <c r="BH28" s="118">
        <f>E28*Navires!$B$6</f>
        <v>0</v>
      </c>
      <c r="BI28" s="118">
        <f>F28*Navires!$B$6</f>
        <v>0</v>
      </c>
      <c r="BJ28" s="118">
        <f>G28*Navires!$B$6</f>
        <v>0</v>
      </c>
      <c r="BK28" s="118">
        <f>H28*Navires!$B$6</f>
        <v>0</v>
      </c>
      <c r="BL28" s="118">
        <f>I28*Navires!$B$6</f>
        <v>0</v>
      </c>
      <c r="BM28" s="118">
        <f>J28*Navires!$B$6</f>
        <v>0</v>
      </c>
      <c r="BN28" s="118">
        <f>K28*Navires!$B$6</f>
        <v>0</v>
      </c>
      <c r="BO28" s="118">
        <f>L28*Navires!$B$6</f>
        <v>0</v>
      </c>
      <c r="BP28" s="118">
        <f>M28*Navires!$B$6</f>
        <v>0</v>
      </c>
      <c r="BQ28" s="118">
        <f>N28*Navires!$B$6</f>
        <v>0</v>
      </c>
      <c r="BR28" s="118">
        <f>O28*Navires!$B$6</f>
        <v>0</v>
      </c>
      <c r="BS28" s="118">
        <f>P28*Navires!$B$6</f>
        <v>2852</v>
      </c>
      <c r="BT28" s="118">
        <f>Q28*Navires!$B$6</f>
        <v>0</v>
      </c>
      <c r="BU28" s="185">
        <f>SUM(BF28:BT28)*Générale!$B$22</f>
        <v>4848.3999999999996</v>
      </c>
    </row>
    <row r="29" spans="1:73" x14ac:dyDescent="0.25">
      <c r="A29" t="s">
        <v>56</v>
      </c>
      <c r="B29" s="2" t="s">
        <v>44</v>
      </c>
      <c r="C29" s="2">
        <v>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/>
      <c r="J29" s="2"/>
      <c r="K29" s="2"/>
      <c r="L29" s="2"/>
      <c r="M29" s="2"/>
      <c r="N29" s="2"/>
      <c r="O29" s="2"/>
      <c r="P29" s="2"/>
      <c r="Q29" s="32"/>
      <c r="R29" s="34">
        <f t="shared" si="6"/>
        <v>1</v>
      </c>
      <c r="S29" s="82">
        <f t="shared" si="7"/>
        <v>0.23364485981308411</v>
      </c>
      <c r="U29" s="2" t="s">
        <v>44</v>
      </c>
      <c r="V29" s="2">
        <f>C29*Navires!$B$2</f>
        <v>1955</v>
      </c>
      <c r="W29" s="2">
        <f>D29*Navires!$C$2</f>
        <v>0</v>
      </c>
      <c r="X29" s="2">
        <f>E29*Navires!$D$2</f>
        <v>0</v>
      </c>
      <c r="Y29" s="2">
        <f>F29*Navires!$E$2</f>
        <v>0</v>
      </c>
      <c r="Z29" s="2">
        <f>G29*Navires!$F$2</f>
        <v>0</v>
      </c>
      <c r="AA29" s="2">
        <f>H29*Navires!$G$2</f>
        <v>0</v>
      </c>
      <c r="AB29" s="2">
        <f>I29*Navires!$H$2</f>
        <v>0</v>
      </c>
      <c r="AC29" s="2">
        <f>J29*Navires!$I$2</f>
        <v>0</v>
      </c>
      <c r="AD29" s="2">
        <f>K29*Navires!$J$2</f>
        <v>0</v>
      </c>
      <c r="AE29" s="2">
        <f>L29*Navires!$K$2</f>
        <v>0</v>
      </c>
      <c r="AF29" s="2">
        <f>M29*Navires!$L$2</f>
        <v>0</v>
      </c>
      <c r="AG29" s="2">
        <f>N29*Navires!$M$2</f>
        <v>0</v>
      </c>
      <c r="AH29" s="2">
        <f>O29*Navires!$N$2</f>
        <v>0</v>
      </c>
      <c r="AI29" s="2">
        <f>P29*Navires!$O$2</f>
        <v>0</v>
      </c>
      <c r="AJ29" s="2">
        <f>Q29*Navires!$P$2</f>
        <v>0</v>
      </c>
      <c r="AK29" s="35">
        <f>(SUM(V29:AJ29))*Générale!$B15</f>
        <v>1955</v>
      </c>
      <c r="AM29" s="118" t="s">
        <v>44</v>
      </c>
      <c r="AN29" s="118">
        <f>C29*Navires!$B$6</f>
        <v>570.4</v>
      </c>
      <c r="AO29" s="118">
        <f>D29*Navires!$C$6</f>
        <v>0</v>
      </c>
      <c r="AP29" s="118">
        <f>E29*Navires!$D$6</f>
        <v>0</v>
      </c>
      <c r="AQ29" s="118">
        <f>F29*Navires!$E$6</f>
        <v>0</v>
      </c>
      <c r="AR29" s="118">
        <f>G29*Navires!$F$6</f>
        <v>0</v>
      </c>
      <c r="AS29" s="118">
        <f>H29*Navires!$G$6</f>
        <v>0</v>
      </c>
      <c r="AT29" s="118">
        <f>I29*Navires!$H$6</f>
        <v>0</v>
      </c>
      <c r="AU29" s="118">
        <f>J29*Navires!$I$6</f>
        <v>0</v>
      </c>
      <c r="AV29" s="118">
        <f>K29*Navires!$J$6</f>
        <v>0</v>
      </c>
      <c r="AW29" s="118">
        <f>L29*Navires!$K$6</f>
        <v>0</v>
      </c>
      <c r="AX29" s="118">
        <f>M29*Navires!$L$6</f>
        <v>0</v>
      </c>
      <c r="AY29" s="118">
        <f>N29*Navires!$M$6</f>
        <v>0</v>
      </c>
      <c r="AZ29" s="118">
        <f>O29*Navires!$N$6</f>
        <v>0</v>
      </c>
      <c r="BA29" s="118">
        <f>P29*Navires!$O$6</f>
        <v>0</v>
      </c>
      <c r="BB29" s="118">
        <f>Q29*Navires!$P$6</f>
        <v>0</v>
      </c>
      <c r="BC29" s="185">
        <f>SUM(AN29:BB29)*Générale!$B$26</f>
        <v>171.11999999999998</v>
      </c>
      <c r="BE29" s="118" t="s">
        <v>44</v>
      </c>
      <c r="BF29" s="118">
        <f>C29*Navires!$B$6</f>
        <v>570.4</v>
      </c>
      <c r="BG29" s="118">
        <f>D29*Navires!$B$6</f>
        <v>0</v>
      </c>
      <c r="BH29" s="118">
        <f>E29*Navires!$B$6</f>
        <v>0</v>
      </c>
      <c r="BI29" s="118">
        <f>F29*Navires!$B$6</f>
        <v>0</v>
      </c>
      <c r="BJ29" s="118">
        <f>G29*Navires!$B$6</f>
        <v>0</v>
      </c>
      <c r="BK29" s="118">
        <f>H29*Navires!$B$6</f>
        <v>0</v>
      </c>
      <c r="BL29" s="118">
        <f>I29*Navires!$B$6</f>
        <v>0</v>
      </c>
      <c r="BM29" s="118">
        <f>J29*Navires!$B$6</f>
        <v>0</v>
      </c>
      <c r="BN29" s="118">
        <f>K29*Navires!$B$6</f>
        <v>0</v>
      </c>
      <c r="BO29" s="118">
        <f>L29*Navires!$B$6</f>
        <v>0</v>
      </c>
      <c r="BP29" s="118">
        <f>M29*Navires!$B$6</f>
        <v>0</v>
      </c>
      <c r="BQ29" s="118">
        <f>N29*Navires!$B$6</f>
        <v>0</v>
      </c>
      <c r="BR29" s="118">
        <f>O29*Navires!$B$6</f>
        <v>0</v>
      </c>
      <c r="BS29" s="118">
        <f>P29*Navires!$B$6</f>
        <v>0</v>
      </c>
      <c r="BT29" s="118">
        <f>Q29*Navires!$B$6</f>
        <v>0</v>
      </c>
      <c r="BU29" s="185">
        <f>SUM(BF29:BT29)*Générale!$B$22</f>
        <v>969.68</v>
      </c>
    </row>
    <row r="30" spans="1:73" x14ac:dyDescent="0.25">
      <c r="A30" t="s">
        <v>57</v>
      </c>
      <c r="B30" s="2" t="s">
        <v>45</v>
      </c>
      <c r="C30" s="2">
        <v>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/>
      <c r="J30" s="2"/>
      <c r="K30" s="2"/>
      <c r="L30" s="2"/>
      <c r="M30" s="2"/>
      <c r="N30" s="2"/>
      <c r="O30" s="2"/>
      <c r="P30" s="2"/>
      <c r="Q30" s="32"/>
      <c r="R30" s="34">
        <f t="shared" si="6"/>
        <v>1</v>
      </c>
      <c r="S30" s="82">
        <f t="shared" si="7"/>
        <v>0.22573363431151244</v>
      </c>
      <c r="U30" s="2" t="s">
        <v>45</v>
      </c>
      <c r="V30" s="2">
        <f>C30*Navires!$B$2</f>
        <v>1955</v>
      </c>
      <c r="W30" s="2">
        <f>D30*Navires!$C$2</f>
        <v>0</v>
      </c>
      <c r="X30" s="2">
        <f>E30*Navires!$D$2</f>
        <v>0</v>
      </c>
      <c r="Y30" s="2">
        <f>F30*Navires!$E$2</f>
        <v>0</v>
      </c>
      <c r="Z30" s="2">
        <f>G30*Navires!$F$2</f>
        <v>0</v>
      </c>
      <c r="AA30" s="2">
        <f>H30*Navires!$G$2</f>
        <v>0</v>
      </c>
      <c r="AB30" s="2">
        <f>I30*Navires!$H$2</f>
        <v>0</v>
      </c>
      <c r="AC30" s="2">
        <f>J30*Navires!$I$2</f>
        <v>0</v>
      </c>
      <c r="AD30" s="2">
        <f>K30*Navires!$J$2</f>
        <v>0</v>
      </c>
      <c r="AE30" s="2">
        <f>L30*Navires!$K$2</f>
        <v>0</v>
      </c>
      <c r="AF30" s="2">
        <f>M30*Navires!$L$2</f>
        <v>0</v>
      </c>
      <c r="AG30" s="2">
        <f>N30*Navires!$M$2</f>
        <v>0</v>
      </c>
      <c r="AH30" s="2">
        <f>O30*Navires!$N$2</f>
        <v>0</v>
      </c>
      <c r="AI30" s="2">
        <f>P30*Navires!$O$2</f>
        <v>0</v>
      </c>
      <c r="AJ30" s="2">
        <f>Q30*Navires!$P$2</f>
        <v>0</v>
      </c>
      <c r="AK30" s="35">
        <f>(SUM(V30:AJ30))*Générale!$B16</f>
        <v>1955</v>
      </c>
      <c r="AM30" s="118" t="s">
        <v>45</v>
      </c>
      <c r="AN30" s="118">
        <f>C30*Navires!$B$6</f>
        <v>570.4</v>
      </c>
      <c r="AO30" s="118">
        <f>D30*Navires!$C$6</f>
        <v>0</v>
      </c>
      <c r="AP30" s="118">
        <f>E30*Navires!$D$6</f>
        <v>0</v>
      </c>
      <c r="AQ30" s="118">
        <f>F30*Navires!$E$6</f>
        <v>0</v>
      </c>
      <c r="AR30" s="118">
        <f>G30*Navires!$F$6</f>
        <v>0</v>
      </c>
      <c r="AS30" s="118">
        <f>H30*Navires!$G$6</f>
        <v>0</v>
      </c>
      <c r="AT30" s="118">
        <f>I30*Navires!$H$6</f>
        <v>0</v>
      </c>
      <c r="AU30" s="118">
        <f>J30*Navires!$I$6</f>
        <v>0</v>
      </c>
      <c r="AV30" s="118">
        <f>K30*Navires!$J$6</f>
        <v>0</v>
      </c>
      <c r="AW30" s="118">
        <f>L30*Navires!$K$6</f>
        <v>0</v>
      </c>
      <c r="AX30" s="118">
        <f>M30*Navires!$L$6</f>
        <v>0</v>
      </c>
      <c r="AY30" s="118">
        <f>N30*Navires!$M$6</f>
        <v>0</v>
      </c>
      <c r="AZ30" s="118">
        <f>O30*Navires!$N$6</f>
        <v>0</v>
      </c>
      <c r="BA30" s="118">
        <f>P30*Navires!$O$6</f>
        <v>0</v>
      </c>
      <c r="BB30" s="118">
        <f>Q30*Navires!$P$6</f>
        <v>0</v>
      </c>
      <c r="BC30" s="185">
        <f>SUM(AN30:BB30)*Générale!$B$27</f>
        <v>285.2</v>
      </c>
      <c r="BE30" s="118" t="s">
        <v>45</v>
      </c>
      <c r="BF30" s="118">
        <f>C30*Navires!$B$6</f>
        <v>570.4</v>
      </c>
      <c r="BG30" s="118">
        <f>D30*Navires!$B$6</f>
        <v>0</v>
      </c>
      <c r="BH30" s="118">
        <f>E30*Navires!$B$6</f>
        <v>0</v>
      </c>
      <c r="BI30" s="118">
        <f>F30*Navires!$B$6</f>
        <v>0</v>
      </c>
      <c r="BJ30" s="118">
        <f>G30*Navires!$B$6</f>
        <v>0</v>
      </c>
      <c r="BK30" s="118">
        <f>H30*Navires!$B$6</f>
        <v>0</v>
      </c>
      <c r="BL30" s="118">
        <f>I30*Navires!$B$6</f>
        <v>0</v>
      </c>
      <c r="BM30" s="118">
        <f>J30*Navires!$B$6</f>
        <v>0</v>
      </c>
      <c r="BN30" s="118">
        <f>K30*Navires!$B$6</f>
        <v>0</v>
      </c>
      <c r="BO30" s="118">
        <f>L30*Navires!$B$6</f>
        <v>0</v>
      </c>
      <c r="BP30" s="118">
        <f>M30*Navires!$B$6</f>
        <v>0</v>
      </c>
      <c r="BQ30" s="118">
        <f>N30*Navires!$B$6</f>
        <v>0</v>
      </c>
      <c r="BR30" s="118">
        <f>O30*Navires!$B$6</f>
        <v>0</v>
      </c>
      <c r="BS30" s="118">
        <f>P30*Navires!$B$6</f>
        <v>0</v>
      </c>
      <c r="BT30" s="118">
        <f>Q30*Navires!$B$6</f>
        <v>0</v>
      </c>
      <c r="BU30" s="185">
        <f>SUM(BF30:BT30)*Générale!$B$22</f>
        <v>969.68</v>
      </c>
    </row>
    <row r="31" spans="1:73" x14ac:dyDescent="0.25">
      <c r="A31" t="s">
        <v>58</v>
      </c>
      <c r="B31" s="2" t="s">
        <v>46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/>
      <c r="J31" s="2"/>
      <c r="K31" s="2"/>
      <c r="L31" s="2"/>
      <c r="M31" s="2"/>
      <c r="N31" s="2"/>
      <c r="O31" s="2"/>
      <c r="P31" s="2"/>
      <c r="Q31" s="32"/>
      <c r="R31" s="34">
        <f t="shared" si="6"/>
        <v>0</v>
      </c>
      <c r="S31" s="82">
        <f t="shared" si="7"/>
        <v>0</v>
      </c>
      <c r="U31" s="2" t="s">
        <v>46</v>
      </c>
      <c r="V31" s="2">
        <f>C31*Navires!$B$2</f>
        <v>0</v>
      </c>
      <c r="W31" s="2">
        <f>D31*Navires!$C$2</f>
        <v>0</v>
      </c>
      <c r="X31" s="2">
        <f>E31*Navires!$D$2</f>
        <v>0</v>
      </c>
      <c r="Y31" s="2">
        <f>F31*Navires!$E$2</f>
        <v>0</v>
      </c>
      <c r="Z31" s="2">
        <f>G31*Navires!$F$2</f>
        <v>0</v>
      </c>
      <c r="AA31" s="2">
        <f>H31*Navires!$G$2</f>
        <v>0</v>
      </c>
      <c r="AB31" s="2">
        <f>I31*Navires!$H$2</f>
        <v>0</v>
      </c>
      <c r="AC31" s="2">
        <f>J31*Navires!$I$2</f>
        <v>0</v>
      </c>
      <c r="AD31" s="2">
        <f>K31*Navires!$J$2</f>
        <v>0</v>
      </c>
      <c r="AE31" s="2">
        <f>L31*Navires!$K$2</f>
        <v>0</v>
      </c>
      <c r="AF31" s="2">
        <f>M31*Navires!$L$2</f>
        <v>0</v>
      </c>
      <c r="AG31" s="2">
        <f>N31*Navires!$M$2</f>
        <v>0</v>
      </c>
      <c r="AH31" s="2">
        <f>O31*Navires!$N$2</f>
        <v>0</v>
      </c>
      <c r="AI31" s="2">
        <f>P31*Navires!$O$2</f>
        <v>0</v>
      </c>
      <c r="AJ31" s="2">
        <f>Q31*Navires!$P$2</f>
        <v>0</v>
      </c>
      <c r="AK31" s="35">
        <f>(SUM(V31:AJ31))*Générale!$B17</f>
        <v>0</v>
      </c>
      <c r="AM31" s="118" t="s">
        <v>46</v>
      </c>
      <c r="AN31" s="118">
        <f>C31*Navires!$B$6</f>
        <v>0</v>
      </c>
      <c r="AO31" s="118">
        <f>D31*Navires!$C$6</f>
        <v>0</v>
      </c>
      <c r="AP31" s="118">
        <f>E31*Navires!$D$6</f>
        <v>0</v>
      </c>
      <c r="AQ31" s="118">
        <f>F31*Navires!$E$6</f>
        <v>0</v>
      </c>
      <c r="AR31" s="118">
        <f>G31*Navires!$F$6</f>
        <v>0</v>
      </c>
      <c r="AS31" s="118">
        <f>H31*Navires!$G$6</f>
        <v>0</v>
      </c>
      <c r="AT31" s="118">
        <f>I31*Navires!$H$6</f>
        <v>0</v>
      </c>
      <c r="AU31" s="118">
        <f>J31*Navires!$I$6</f>
        <v>0</v>
      </c>
      <c r="AV31" s="118">
        <f>K31*Navires!$J$6</f>
        <v>0</v>
      </c>
      <c r="AW31" s="118">
        <f>L31*Navires!$K$6</f>
        <v>0</v>
      </c>
      <c r="AX31" s="118">
        <f>M31*Navires!$L$6</f>
        <v>0</v>
      </c>
      <c r="AY31" s="118">
        <f>N31*Navires!$M$6</f>
        <v>0</v>
      </c>
      <c r="AZ31" s="118">
        <f>O31*Navires!$N$6</f>
        <v>0</v>
      </c>
      <c r="BA31" s="118">
        <f>P31*Navires!$O$6</f>
        <v>0</v>
      </c>
      <c r="BB31" s="118">
        <f>Q31*Navires!$P$6</f>
        <v>0</v>
      </c>
      <c r="BC31" s="185">
        <f>SUM(AN31:BB31)*Générale!$B$27</f>
        <v>0</v>
      </c>
      <c r="BE31" s="118" t="s">
        <v>46</v>
      </c>
      <c r="BF31" s="118">
        <f>C31*Navires!$B$6</f>
        <v>0</v>
      </c>
      <c r="BG31" s="118">
        <f>D31*Navires!$B$6</f>
        <v>0</v>
      </c>
      <c r="BH31" s="118">
        <f>E31*Navires!$B$6</f>
        <v>0</v>
      </c>
      <c r="BI31" s="118">
        <f>F31*Navires!$B$6</f>
        <v>0</v>
      </c>
      <c r="BJ31" s="118">
        <f>G31*Navires!$B$6</f>
        <v>0</v>
      </c>
      <c r="BK31" s="118">
        <f>H31*Navires!$B$6</f>
        <v>0</v>
      </c>
      <c r="BL31" s="118">
        <f>I31*Navires!$B$6</f>
        <v>0</v>
      </c>
      <c r="BM31" s="118">
        <f>J31*Navires!$B$6</f>
        <v>0</v>
      </c>
      <c r="BN31" s="118">
        <f>K31*Navires!$B$6</f>
        <v>0</v>
      </c>
      <c r="BO31" s="118">
        <f>L31*Navires!$B$6</f>
        <v>0</v>
      </c>
      <c r="BP31" s="118">
        <f>M31*Navires!$B$6</f>
        <v>0</v>
      </c>
      <c r="BQ31" s="118">
        <f>N31*Navires!$B$6</f>
        <v>0</v>
      </c>
      <c r="BR31" s="118">
        <f>O31*Navires!$B$6</f>
        <v>0</v>
      </c>
      <c r="BS31" s="118">
        <f>P31*Navires!$B$6</f>
        <v>0</v>
      </c>
      <c r="BT31" s="118">
        <f>Q31*Navires!$B$6</f>
        <v>0</v>
      </c>
      <c r="BU31" s="185">
        <f>SUM(BF31:BT31)*Générale!$B$23</f>
        <v>0</v>
      </c>
    </row>
    <row r="32" spans="1:73" x14ac:dyDescent="0.25">
      <c r="A32" t="s">
        <v>59</v>
      </c>
      <c r="B32" s="2" t="s">
        <v>47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/>
      <c r="J32" s="2"/>
      <c r="K32" s="2"/>
      <c r="L32" s="2"/>
      <c r="M32" s="2"/>
      <c r="N32" s="2"/>
      <c r="O32" s="2"/>
      <c r="P32" s="2"/>
      <c r="Q32" s="32"/>
      <c r="R32" s="34">
        <f t="shared" si="6"/>
        <v>0</v>
      </c>
      <c r="S32" s="82">
        <f t="shared" si="7"/>
        <v>0</v>
      </c>
      <c r="U32" s="2" t="s">
        <v>47</v>
      </c>
      <c r="V32" s="2">
        <f>C32*Navires!$B$2</f>
        <v>0</v>
      </c>
      <c r="W32" s="2">
        <f>D32*Navires!$C$2</f>
        <v>0</v>
      </c>
      <c r="X32" s="2">
        <f>E32*Navires!$D$2</f>
        <v>0</v>
      </c>
      <c r="Y32" s="2">
        <f>F32*Navires!$E$2</f>
        <v>0</v>
      </c>
      <c r="Z32" s="2">
        <f>G32*Navires!$F$2</f>
        <v>0</v>
      </c>
      <c r="AA32" s="2">
        <f>H32*Navires!$G$2</f>
        <v>0</v>
      </c>
      <c r="AB32" s="2">
        <f>I32*Navires!$H$2</f>
        <v>0</v>
      </c>
      <c r="AC32" s="2">
        <f>J32*Navires!$I$2</f>
        <v>0</v>
      </c>
      <c r="AD32" s="2">
        <f>K32*Navires!$J$2</f>
        <v>0</v>
      </c>
      <c r="AE32" s="2">
        <f>L32*Navires!$K$2</f>
        <v>0</v>
      </c>
      <c r="AF32" s="2">
        <f>M32*Navires!$L$2</f>
        <v>0</v>
      </c>
      <c r="AG32" s="2">
        <f>N32*Navires!$M$2</f>
        <v>0</v>
      </c>
      <c r="AH32" s="2">
        <f>O32*Navires!$N$2</f>
        <v>0</v>
      </c>
      <c r="AI32" s="2">
        <f>P32*Navires!$O$2</f>
        <v>0</v>
      </c>
      <c r="AJ32" s="2">
        <f>Q32*Navires!$P$2</f>
        <v>0</v>
      </c>
      <c r="AK32" s="35">
        <f>(SUM(V32:AJ32))*Générale!$B18</f>
        <v>0</v>
      </c>
      <c r="AM32" s="118" t="s">
        <v>47</v>
      </c>
      <c r="AN32" s="118">
        <f>C32*Navires!$B$6</f>
        <v>0</v>
      </c>
      <c r="AO32" s="118">
        <f>D32*Navires!$C$6</f>
        <v>0</v>
      </c>
      <c r="AP32" s="118">
        <f>E32*Navires!$D$6</f>
        <v>0</v>
      </c>
      <c r="AQ32" s="118">
        <f>F32*Navires!$E$6</f>
        <v>0</v>
      </c>
      <c r="AR32" s="118">
        <f>G32*Navires!$F$6</f>
        <v>0</v>
      </c>
      <c r="AS32" s="118">
        <f>H32*Navires!$G$6</f>
        <v>0</v>
      </c>
      <c r="AT32" s="118">
        <f>I32*Navires!$H$6</f>
        <v>0</v>
      </c>
      <c r="AU32" s="118">
        <f>J32*Navires!$I$6</f>
        <v>0</v>
      </c>
      <c r="AV32" s="118">
        <f>K32*Navires!$J$6</f>
        <v>0</v>
      </c>
      <c r="AW32" s="118">
        <f>L32*Navires!$K$6</f>
        <v>0</v>
      </c>
      <c r="AX32" s="118">
        <f>M32*Navires!$L$6</f>
        <v>0</v>
      </c>
      <c r="AY32" s="118">
        <f>N32*Navires!$M$6</f>
        <v>0</v>
      </c>
      <c r="AZ32" s="118">
        <f>O32*Navires!$N$6</f>
        <v>0</v>
      </c>
      <c r="BA32" s="118">
        <f>P32*Navires!$O$6</f>
        <v>0</v>
      </c>
      <c r="BB32" s="118">
        <f>Q32*Navires!$P$6</f>
        <v>0</v>
      </c>
      <c r="BC32" s="185">
        <f>SUM(AN32:BB32)*Générale!$B$27</f>
        <v>0</v>
      </c>
      <c r="BE32" s="118" t="s">
        <v>47</v>
      </c>
      <c r="BF32" s="118">
        <f>C32*Navires!$B$6</f>
        <v>0</v>
      </c>
      <c r="BG32" s="118">
        <f>D32*Navires!$B$6</f>
        <v>0</v>
      </c>
      <c r="BH32" s="118">
        <f>E32*Navires!$B$6</f>
        <v>0</v>
      </c>
      <c r="BI32" s="118">
        <f>F32*Navires!$B$6</f>
        <v>0</v>
      </c>
      <c r="BJ32" s="118">
        <f>G32*Navires!$B$6</f>
        <v>0</v>
      </c>
      <c r="BK32" s="118">
        <f>H32*Navires!$B$6</f>
        <v>0</v>
      </c>
      <c r="BL32" s="118">
        <f>I32*Navires!$B$6</f>
        <v>0</v>
      </c>
      <c r="BM32" s="118">
        <f>J32*Navires!$B$6</f>
        <v>0</v>
      </c>
      <c r="BN32" s="118">
        <f>K32*Navires!$B$6</f>
        <v>0</v>
      </c>
      <c r="BO32" s="118">
        <f>L32*Navires!$B$6</f>
        <v>0</v>
      </c>
      <c r="BP32" s="118">
        <f>M32*Navires!$B$6</f>
        <v>0</v>
      </c>
      <c r="BQ32" s="118">
        <f>N32*Navires!$B$6</f>
        <v>0</v>
      </c>
      <c r="BR32" s="118">
        <f>O32*Navires!$B$6</f>
        <v>0</v>
      </c>
      <c r="BS32" s="118">
        <f>P32*Navires!$B$6</f>
        <v>0</v>
      </c>
      <c r="BT32" s="118">
        <f>Q32*Navires!$B$6</f>
        <v>0</v>
      </c>
      <c r="BU32" s="185">
        <f>SUM(BF32:BT32)*Générale!$B$23</f>
        <v>0</v>
      </c>
    </row>
    <row r="33" spans="1:73" x14ac:dyDescent="0.25">
      <c r="A33" s="30"/>
      <c r="B33" s="34" t="s">
        <v>60</v>
      </c>
      <c r="C33" s="34">
        <f>SUM(C21:C32)</f>
        <v>3</v>
      </c>
      <c r="D33" s="34">
        <f t="shared" ref="D33:E33" si="8">SUM(D21:D32)</f>
        <v>0</v>
      </c>
      <c r="E33" s="34">
        <f t="shared" si="8"/>
        <v>0</v>
      </c>
      <c r="F33" s="34">
        <f>SUM(F21:F32)</f>
        <v>1</v>
      </c>
      <c r="G33" s="34">
        <f>SUM(G21:G32)</f>
        <v>2</v>
      </c>
      <c r="H33" s="34">
        <f t="shared" ref="H33:Q33" si="9">SUM(H21:H32)</f>
        <v>0</v>
      </c>
      <c r="I33" s="34">
        <f t="shared" si="9"/>
        <v>0</v>
      </c>
      <c r="J33" s="34">
        <f t="shared" si="9"/>
        <v>0</v>
      </c>
      <c r="K33" s="34">
        <f t="shared" si="9"/>
        <v>0</v>
      </c>
      <c r="L33" s="34">
        <f t="shared" si="9"/>
        <v>0</v>
      </c>
      <c r="M33" s="34">
        <f t="shared" si="9"/>
        <v>0</v>
      </c>
      <c r="N33" s="34">
        <f t="shared" si="9"/>
        <v>0</v>
      </c>
      <c r="O33" s="34">
        <f t="shared" si="9"/>
        <v>0</v>
      </c>
      <c r="P33" s="34">
        <f t="shared" si="9"/>
        <v>5</v>
      </c>
      <c r="Q33" s="34">
        <f t="shared" si="9"/>
        <v>0</v>
      </c>
      <c r="R33" s="34">
        <f t="shared" si="6"/>
        <v>11</v>
      </c>
      <c r="S33" s="82">
        <f t="shared" si="7"/>
        <v>0.21101093420295414</v>
      </c>
      <c r="U33" s="34" t="s">
        <v>60</v>
      </c>
      <c r="V33" s="34">
        <f>SUM(V21:V32)</f>
        <v>5865</v>
      </c>
      <c r="W33" s="34">
        <f t="shared" ref="W33:AJ33" si="10">SUM(W21:W32)</f>
        <v>0</v>
      </c>
      <c r="X33" s="34">
        <f t="shared" si="10"/>
        <v>0</v>
      </c>
      <c r="Y33" s="34">
        <f t="shared" si="10"/>
        <v>1880</v>
      </c>
      <c r="Z33" s="34">
        <f t="shared" si="10"/>
        <v>3792</v>
      </c>
      <c r="AA33" s="34">
        <f t="shared" si="10"/>
        <v>0</v>
      </c>
      <c r="AB33" s="34">
        <f t="shared" si="10"/>
        <v>0</v>
      </c>
      <c r="AC33" s="34">
        <f t="shared" si="10"/>
        <v>0</v>
      </c>
      <c r="AD33" s="34">
        <f t="shared" si="10"/>
        <v>0</v>
      </c>
      <c r="AE33" s="34">
        <f t="shared" si="10"/>
        <v>0</v>
      </c>
      <c r="AF33" s="34">
        <f t="shared" si="10"/>
        <v>0</v>
      </c>
      <c r="AG33" s="34">
        <f t="shared" si="10"/>
        <v>0</v>
      </c>
      <c r="AH33" s="34">
        <f t="shared" si="10"/>
        <v>0</v>
      </c>
      <c r="AI33" s="34">
        <f t="shared" si="10"/>
        <v>7500</v>
      </c>
      <c r="AJ33" s="34">
        <f t="shared" si="10"/>
        <v>0</v>
      </c>
      <c r="AK33" s="121"/>
      <c r="AM33" s="34" t="s">
        <v>60</v>
      </c>
      <c r="AN33" s="34">
        <f>SUM(AN21:AN32)</f>
        <v>1711.1999999999998</v>
      </c>
      <c r="AO33" s="34">
        <f t="shared" ref="AO33:BB33" si="11">SUM(AO21:AO32)</f>
        <v>0</v>
      </c>
      <c r="AP33" s="34">
        <f t="shared" si="11"/>
        <v>0</v>
      </c>
      <c r="AQ33" s="34">
        <f t="shared" si="11"/>
        <v>1228</v>
      </c>
      <c r="AR33" s="34">
        <f t="shared" si="11"/>
        <v>1361.6000000000001</v>
      </c>
      <c r="AS33" s="34">
        <f t="shared" si="11"/>
        <v>0</v>
      </c>
      <c r="AT33" s="34">
        <f t="shared" si="11"/>
        <v>0</v>
      </c>
      <c r="AU33" s="34">
        <f t="shared" si="11"/>
        <v>0</v>
      </c>
      <c r="AV33" s="34">
        <f t="shared" si="11"/>
        <v>0</v>
      </c>
      <c r="AW33" s="34">
        <f t="shared" si="11"/>
        <v>0</v>
      </c>
      <c r="AX33" s="34">
        <f t="shared" si="11"/>
        <v>0</v>
      </c>
      <c r="AY33" s="34">
        <f t="shared" si="11"/>
        <v>0</v>
      </c>
      <c r="AZ33" s="34">
        <f t="shared" si="11"/>
        <v>0</v>
      </c>
      <c r="BA33" s="34">
        <f t="shared" si="11"/>
        <v>3200</v>
      </c>
      <c r="BB33" s="34">
        <f t="shared" si="11"/>
        <v>0</v>
      </c>
      <c r="BC33" s="118"/>
      <c r="BE33" s="34" t="s">
        <v>60</v>
      </c>
      <c r="BF33" s="118">
        <f>C33*Navires!$B$6</f>
        <v>1711.1999999999998</v>
      </c>
      <c r="BG33" s="118">
        <f>D33*Navires!$B$6</f>
        <v>0</v>
      </c>
      <c r="BH33" s="118">
        <f>E33*Navires!$B$6</f>
        <v>0</v>
      </c>
      <c r="BI33" s="118">
        <f>F33*Navires!$B$6</f>
        <v>570.4</v>
      </c>
      <c r="BJ33" s="118">
        <f>G33*Navires!$B$6</f>
        <v>1140.8</v>
      </c>
      <c r="BK33" s="118">
        <f>H33*Navires!$B$6</f>
        <v>0</v>
      </c>
      <c r="BL33" s="118">
        <f>I33*Navires!$B$6</f>
        <v>0</v>
      </c>
      <c r="BM33" s="118">
        <f>J33*Navires!$B$6</f>
        <v>0</v>
      </c>
      <c r="BN33" s="118">
        <f>K33*Navires!$B$6</f>
        <v>0</v>
      </c>
      <c r="BO33" s="118">
        <f>L33*Navires!$B$6</f>
        <v>0</v>
      </c>
      <c r="BP33" s="118">
        <f>M33*Navires!$B$6</f>
        <v>0</v>
      </c>
      <c r="BQ33" s="118">
        <f>N33*Navires!$B$6</f>
        <v>0</v>
      </c>
      <c r="BR33" s="118">
        <f>O33*Navires!$B$6</f>
        <v>0</v>
      </c>
      <c r="BS33" s="118">
        <f>P33*Navires!$B$6</f>
        <v>2852</v>
      </c>
      <c r="BT33" s="118">
        <f>Q33*Navires!$B$6</f>
        <v>0</v>
      </c>
      <c r="BU33" s="118"/>
    </row>
    <row r="35" spans="1:73" x14ac:dyDescent="0.25">
      <c r="Q35" s="79" t="s">
        <v>98</v>
      </c>
      <c r="R35" s="79" t="s">
        <v>99</v>
      </c>
    </row>
    <row r="36" spans="1:73" x14ac:dyDescent="0.25">
      <c r="Q36" s="79" t="s">
        <v>36</v>
      </c>
      <c r="R36" s="79">
        <v>4.43</v>
      </c>
    </row>
    <row r="37" spans="1:73" x14ac:dyDescent="0.25">
      <c r="Q37" s="79" t="s">
        <v>37</v>
      </c>
      <c r="R37" s="79">
        <v>4</v>
      </c>
    </row>
    <row r="38" spans="1:73" x14ac:dyDescent="0.25">
      <c r="Q38" s="79" t="s">
        <v>38</v>
      </c>
      <c r="R38" s="79">
        <v>4.43</v>
      </c>
    </row>
    <row r="39" spans="1:73" x14ac:dyDescent="0.25">
      <c r="Q39" s="79" t="s">
        <v>39</v>
      </c>
      <c r="R39" s="79">
        <v>4.28</v>
      </c>
    </row>
    <row r="40" spans="1:73" x14ac:dyDescent="0.25">
      <c r="Q40" s="79" t="s">
        <v>40</v>
      </c>
      <c r="R40" s="79">
        <v>4.43</v>
      </c>
    </row>
    <row r="41" spans="1:73" x14ac:dyDescent="0.25">
      <c r="Q41" s="79" t="s">
        <v>41</v>
      </c>
      <c r="R41" s="79">
        <v>4.28</v>
      </c>
    </row>
    <row r="42" spans="1:73" x14ac:dyDescent="0.25">
      <c r="Q42" s="79" t="s">
        <v>42</v>
      </c>
      <c r="R42" s="79">
        <v>4.43</v>
      </c>
    </row>
    <row r="43" spans="1:73" x14ac:dyDescent="0.25">
      <c r="Q43" s="79" t="s">
        <v>43</v>
      </c>
      <c r="R43" s="79">
        <v>4.43</v>
      </c>
    </row>
    <row r="44" spans="1:73" x14ac:dyDescent="0.25">
      <c r="Q44" s="79" t="s">
        <v>44</v>
      </c>
      <c r="R44" s="79">
        <v>4.28</v>
      </c>
    </row>
    <row r="45" spans="1:73" x14ac:dyDescent="0.25">
      <c r="Q45" s="79" t="s">
        <v>45</v>
      </c>
      <c r="R45" s="79">
        <v>4.43</v>
      </c>
    </row>
    <row r="46" spans="1:73" x14ac:dyDescent="0.25">
      <c r="Q46" s="79" t="s">
        <v>46</v>
      </c>
      <c r="R46" s="79">
        <v>4.28</v>
      </c>
    </row>
    <row r="47" spans="1:73" x14ac:dyDescent="0.25">
      <c r="Q47" s="79" t="s">
        <v>47</v>
      </c>
      <c r="R47" s="79">
        <v>4.43</v>
      </c>
    </row>
    <row r="48" spans="1:73" x14ac:dyDescent="0.25">
      <c r="Q48" s="79" t="s">
        <v>101</v>
      </c>
      <c r="R48" s="79">
        <f>SUM(R36:R47)</f>
        <v>52.13</v>
      </c>
    </row>
    <row r="49" spans="1:37" s="117" customFormat="1" x14ac:dyDescent="0.25">
      <c r="B49" s="117" t="s">
        <v>155</v>
      </c>
    </row>
    <row r="50" spans="1:37" s="117" customFormat="1" ht="23.25" customHeight="1" x14ac:dyDescent="0.25">
      <c r="C50" s="215" t="s">
        <v>61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V50" s="215" t="s">
        <v>62</v>
      </c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7"/>
    </row>
    <row r="51" spans="1:37" s="117" customFormat="1" ht="23.25" customHeight="1" x14ac:dyDescent="0.25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8"/>
    </row>
    <row r="52" spans="1:37" s="117" customFormat="1" ht="45" x14ac:dyDescent="0.25">
      <c r="C52" s="24" t="s">
        <v>21</v>
      </c>
      <c r="D52" s="24" t="s">
        <v>22</v>
      </c>
      <c r="E52" s="23" t="s">
        <v>23</v>
      </c>
      <c r="F52" s="24" t="s">
        <v>24</v>
      </c>
      <c r="G52" s="24" t="s">
        <v>25</v>
      </c>
      <c r="H52" s="24" t="s">
        <v>26</v>
      </c>
      <c r="I52" s="25" t="s">
        <v>30</v>
      </c>
      <c r="J52" s="25" t="s">
        <v>33</v>
      </c>
      <c r="K52" s="25" t="s">
        <v>65</v>
      </c>
      <c r="L52" s="25" t="s">
        <v>31</v>
      </c>
      <c r="M52" s="25" t="s">
        <v>32</v>
      </c>
      <c r="N52" s="25" t="s">
        <v>29</v>
      </c>
      <c r="O52" s="25" t="s">
        <v>28</v>
      </c>
      <c r="P52" s="24" t="s">
        <v>27</v>
      </c>
      <c r="Q52" s="31" t="s">
        <v>34</v>
      </c>
      <c r="R52" s="33" t="s">
        <v>60</v>
      </c>
      <c r="S52" s="87"/>
      <c r="V52" s="24" t="s">
        <v>21</v>
      </c>
      <c r="W52" s="24" t="s">
        <v>22</v>
      </c>
      <c r="X52" s="24" t="s">
        <v>23</v>
      </c>
      <c r="Y52" s="24" t="s">
        <v>24</v>
      </c>
      <c r="Z52" s="24" t="s">
        <v>25</v>
      </c>
      <c r="AA52" s="24" t="s">
        <v>26</v>
      </c>
      <c r="AB52" s="25" t="s">
        <v>30</v>
      </c>
      <c r="AC52" s="25" t="s">
        <v>33</v>
      </c>
      <c r="AD52" s="25" t="s">
        <v>26</v>
      </c>
      <c r="AE52" s="25" t="s">
        <v>31</v>
      </c>
      <c r="AF52" s="25" t="s">
        <v>32</v>
      </c>
      <c r="AG52" s="25" t="s">
        <v>29</v>
      </c>
      <c r="AH52" s="25" t="s">
        <v>28</v>
      </c>
      <c r="AI52" s="24" t="s">
        <v>27</v>
      </c>
      <c r="AJ52" s="25" t="s">
        <v>34</v>
      </c>
      <c r="AK52" s="33" t="s">
        <v>60</v>
      </c>
    </row>
    <row r="53" spans="1:37" s="117" customFormat="1" x14ac:dyDescent="0.25">
      <c r="A53" s="117">
        <v>6</v>
      </c>
      <c r="B53" s="118" t="s">
        <v>147</v>
      </c>
      <c r="C53" s="118"/>
      <c r="D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32"/>
      <c r="R53" s="34">
        <f t="shared" ref="R53:R58" si="12">SUM(C53:Q53)</f>
        <v>0</v>
      </c>
      <c r="S53" s="135"/>
      <c r="U53" s="118" t="s">
        <v>147</v>
      </c>
      <c r="V53" s="118">
        <f>C53*Navires!$B$2</f>
        <v>0</v>
      </c>
      <c r="W53" s="118">
        <f>D53*Navires!$C$2</f>
        <v>0</v>
      </c>
      <c r="X53" s="118">
        <f>E53*Navires!$D$2</f>
        <v>0</v>
      </c>
      <c r="Y53" s="118">
        <f>F53*Navires!$E$2</f>
        <v>0</v>
      </c>
      <c r="Z53" s="118">
        <f>G53*Navires!$F$2</f>
        <v>0</v>
      </c>
      <c r="AA53" s="118">
        <f>H53*Navires!$G$2</f>
        <v>0</v>
      </c>
      <c r="AB53" s="118">
        <f>I53*Navires!$H$2</f>
        <v>0</v>
      </c>
      <c r="AC53" s="118">
        <f>J53*Navires!$I$2</f>
        <v>0</v>
      </c>
      <c r="AD53" s="118">
        <f>K53*Navires!$J$2</f>
        <v>0</v>
      </c>
      <c r="AE53" s="118">
        <f>L53*Navires!$K$2</f>
        <v>0</v>
      </c>
      <c r="AF53" s="118">
        <f>M53*Navires!$L$2</f>
        <v>0</v>
      </c>
      <c r="AG53" s="118">
        <f>N53*Navires!$M$2</f>
        <v>0</v>
      </c>
      <c r="AH53" s="118">
        <f>O53*Navires!$N$2</f>
        <v>0</v>
      </c>
      <c r="AI53" s="118">
        <f>P53*Navires!$O$2</f>
        <v>0</v>
      </c>
      <c r="AJ53" s="118">
        <f>Q53*Navires!$P$2</f>
        <v>0</v>
      </c>
      <c r="AK53" s="35">
        <f>(SUM(V53:AJ53))*Générale!$B$8</f>
        <v>0</v>
      </c>
    </row>
    <row r="54" spans="1:37" s="117" customFormat="1" x14ac:dyDescent="0.25">
      <c r="A54" s="117">
        <v>7</v>
      </c>
      <c r="B54" s="118" t="s">
        <v>148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32"/>
      <c r="R54" s="34">
        <f t="shared" si="12"/>
        <v>0</v>
      </c>
      <c r="S54" s="135"/>
      <c r="U54" s="118" t="s">
        <v>148</v>
      </c>
      <c r="V54" s="118">
        <f>C54*Navires!$B$2</f>
        <v>0</v>
      </c>
      <c r="W54" s="118">
        <f>D54*Navires!$C$2</f>
        <v>0</v>
      </c>
      <c r="X54" s="118">
        <f>E54*Navires!$D$2</f>
        <v>0</v>
      </c>
      <c r="Y54" s="118">
        <f>F54*Navires!$E$2</f>
        <v>0</v>
      </c>
      <c r="Z54" s="118">
        <f>G54*Navires!$F$2</f>
        <v>0</v>
      </c>
      <c r="AA54" s="118">
        <f>H54*Navires!$G$2</f>
        <v>0</v>
      </c>
      <c r="AB54" s="118">
        <f>I54*Navires!$H$2</f>
        <v>0</v>
      </c>
      <c r="AC54" s="118">
        <f>J54*Navires!$I$2</f>
        <v>0</v>
      </c>
      <c r="AD54" s="118">
        <f>K54*Navires!$J$2</f>
        <v>0</v>
      </c>
      <c r="AE54" s="118">
        <f>L54*Navires!$K$2</f>
        <v>0</v>
      </c>
      <c r="AF54" s="118">
        <f>M54*Navires!$L$2</f>
        <v>0</v>
      </c>
      <c r="AG54" s="118">
        <f>N54*Navires!$M$2</f>
        <v>0</v>
      </c>
      <c r="AH54" s="118">
        <f>O54*Navires!$N$2</f>
        <v>0</v>
      </c>
      <c r="AI54" s="118">
        <f>P54*Navires!$O$2</f>
        <v>0</v>
      </c>
      <c r="AJ54" s="118">
        <f>Q54*Navires!$P$2</f>
        <v>0</v>
      </c>
      <c r="AK54" s="35">
        <f>(SUM(V54:AJ54))*Générale!$B$8</f>
        <v>0</v>
      </c>
    </row>
    <row r="55" spans="1:37" s="117" customFormat="1" x14ac:dyDescent="0.25">
      <c r="A55" s="117">
        <v>8</v>
      </c>
      <c r="B55" s="118" t="s">
        <v>149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32"/>
      <c r="R55" s="34">
        <f t="shared" si="12"/>
        <v>0</v>
      </c>
      <c r="S55" s="135"/>
      <c r="U55" s="118" t="s">
        <v>149</v>
      </c>
      <c r="V55" s="118">
        <f>C55*Navires!$B$2</f>
        <v>0</v>
      </c>
      <c r="W55" s="118">
        <f>D55*Navires!$C$2</f>
        <v>0</v>
      </c>
      <c r="X55" s="118">
        <f>E55*Navires!$D$2</f>
        <v>0</v>
      </c>
      <c r="Y55" s="118">
        <f>F55*Navires!$E$2</f>
        <v>0</v>
      </c>
      <c r="Z55" s="118">
        <f>G55*Navires!$F$2</f>
        <v>0</v>
      </c>
      <c r="AA55" s="118">
        <f>H55*Navires!$G$2</f>
        <v>0</v>
      </c>
      <c r="AB55" s="118">
        <f>I55*Navires!$H$2</f>
        <v>0</v>
      </c>
      <c r="AC55" s="118">
        <f>J55*Navires!$I$2</f>
        <v>0</v>
      </c>
      <c r="AD55" s="118">
        <f>K55*Navires!$J$2</f>
        <v>0</v>
      </c>
      <c r="AE55" s="118">
        <f>L55*Navires!$K$2</f>
        <v>0</v>
      </c>
      <c r="AF55" s="118">
        <f>M55*Navires!$L$2</f>
        <v>0</v>
      </c>
      <c r="AG55" s="118">
        <f>N55*Navires!$M$2</f>
        <v>0</v>
      </c>
      <c r="AH55" s="118">
        <f>O55*Navires!$N$2</f>
        <v>0</v>
      </c>
      <c r="AI55" s="118">
        <f>P55*Navires!$O$2</f>
        <v>0</v>
      </c>
      <c r="AJ55" s="118">
        <f>Q55*Navires!$P$2</f>
        <v>0</v>
      </c>
      <c r="AK55" s="35">
        <f>(SUM(V55:AJ55))*Générale!$B$8</f>
        <v>0</v>
      </c>
    </row>
    <row r="56" spans="1:37" s="117" customFormat="1" x14ac:dyDescent="0.25">
      <c r="A56" s="117">
        <v>9</v>
      </c>
      <c r="B56" s="118" t="s">
        <v>150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32"/>
      <c r="R56" s="34">
        <f t="shared" si="12"/>
        <v>0</v>
      </c>
      <c r="S56" s="135"/>
      <c r="U56" s="118" t="s">
        <v>150</v>
      </c>
      <c r="V56" s="118">
        <f>C56*Navires!$B$2</f>
        <v>0</v>
      </c>
      <c r="W56" s="118">
        <f>D56*Navires!$C$2</f>
        <v>0</v>
      </c>
      <c r="X56" s="118">
        <f>E56*Navires!$D$2</f>
        <v>0</v>
      </c>
      <c r="Y56" s="118">
        <f>F56*Navires!$E$2</f>
        <v>0</v>
      </c>
      <c r="Z56" s="118">
        <f>G56*Navires!$F$2</f>
        <v>0</v>
      </c>
      <c r="AA56" s="118">
        <f>H56*Navires!$G$2</f>
        <v>0</v>
      </c>
      <c r="AB56" s="118">
        <f>I56*Navires!$H$2</f>
        <v>0</v>
      </c>
      <c r="AC56" s="118">
        <f>J56*Navires!$I$2</f>
        <v>0</v>
      </c>
      <c r="AD56" s="118">
        <f>K56*Navires!$J$2</f>
        <v>0</v>
      </c>
      <c r="AE56" s="118">
        <f>L56*Navires!$K$2</f>
        <v>0</v>
      </c>
      <c r="AF56" s="118">
        <f>M56*Navires!$L$2</f>
        <v>0</v>
      </c>
      <c r="AG56" s="118">
        <f>N56*Navires!$M$2</f>
        <v>0</v>
      </c>
      <c r="AH56" s="118">
        <f>O56*Navires!$N$2</f>
        <v>0</v>
      </c>
      <c r="AI56" s="118">
        <f>P56*Navires!$O$2</f>
        <v>0</v>
      </c>
      <c r="AJ56" s="118">
        <f>Q56*Navires!$P$2</f>
        <v>0</v>
      </c>
      <c r="AK56" s="35">
        <f>(SUM(V56:AJ56))*Générale!$B$8</f>
        <v>0</v>
      </c>
    </row>
    <row r="57" spans="1:37" s="117" customFormat="1" x14ac:dyDescent="0.25">
      <c r="A57" s="117">
        <v>10</v>
      </c>
      <c r="B57" s="118" t="s">
        <v>151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2"/>
      <c r="R57" s="34">
        <f t="shared" si="12"/>
        <v>0</v>
      </c>
      <c r="S57" s="135"/>
      <c r="U57" s="118" t="s">
        <v>151</v>
      </c>
      <c r="V57" s="118">
        <f>C57*Navires!$B$2</f>
        <v>0</v>
      </c>
      <c r="W57" s="118">
        <f>D57*Navires!$C$2</f>
        <v>0</v>
      </c>
      <c r="X57" s="118">
        <f>E57*Navires!$D$2</f>
        <v>0</v>
      </c>
      <c r="Y57" s="118">
        <f>F57*Navires!$E$2</f>
        <v>0</v>
      </c>
      <c r="Z57" s="118">
        <f>G57*Navires!$F$2</f>
        <v>0</v>
      </c>
      <c r="AA57" s="118">
        <f>H57*Navires!$G$2</f>
        <v>0</v>
      </c>
      <c r="AB57" s="118">
        <f>I57*Navires!$H$2</f>
        <v>0</v>
      </c>
      <c r="AC57" s="118">
        <f>J57*Navires!$I$2</f>
        <v>0</v>
      </c>
      <c r="AD57" s="118">
        <f>K57*Navires!$J$2</f>
        <v>0</v>
      </c>
      <c r="AE57" s="118">
        <f>L57*Navires!$K$2</f>
        <v>0</v>
      </c>
      <c r="AF57" s="118">
        <f>M57*Navires!$L$2</f>
        <v>0</v>
      </c>
      <c r="AG57" s="118">
        <f>N57*Navires!$M$2</f>
        <v>0</v>
      </c>
      <c r="AH57" s="118">
        <f>O57*Navires!$N$2</f>
        <v>0</v>
      </c>
      <c r="AI57" s="118">
        <f>P57*Navires!$O$2</f>
        <v>0</v>
      </c>
      <c r="AJ57" s="118">
        <f>Q57*Navires!$P$2</f>
        <v>0</v>
      </c>
      <c r="AK57" s="35">
        <f>(SUM(V57:AJ57))*Générale!$B$8</f>
        <v>0</v>
      </c>
    </row>
    <row r="58" spans="1:37" s="117" customFormat="1" x14ac:dyDescent="0.25">
      <c r="A58" s="117">
        <v>11</v>
      </c>
      <c r="B58" s="118" t="s">
        <v>152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32"/>
      <c r="R58" s="34">
        <f t="shared" si="12"/>
        <v>0</v>
      </c>
      <c r="S58" s="135"/>
      <c r="U58" s="118" t="s">
        <v>152</v>
      </c>
      <c r="V58" s="118">
        <f>C58*Navires!$B$2</f>
        <v>0</v>
      </c>
      <c r="W58" s="118">
        <f>D58*Navires!$C$2</f>
        <v>0</v>
      </c>
      <c r="X58" s="118">
        <f>E58*Navires!$D$2</f>
        <v>0</v>
      </c>
      <c r="Y58" s="118">
        <f>F58*Navires!$E$2</f>
        <v>0</v>
      </c>
      <c r="Z58" s="118">
        <f>G58*Navires!$F$2</f>
        <v>0</v>
      </c>
      <c r="AA58" s="118">
        <f>H58*Navires!$G$2</f>
        <v>0</v>
      </c>
      <c r="AB58" s="118">
        <f>I58*Navires!$H$2</f>
        <v>0</v>
      </c>
      <c r="AC58" s="118">
        <f>J58*Navires!$I$2</f>
        <v>0</v>
      </c>
      <c r="AD58" s="118">
        <f>K58*Navires!$J$2</f>
        <v>0</v>
      </c>
      <c r="AE58" s="118">
        <f>L58*Navires!$K$2</f>
        <v>0</v>
      </c>
      <c r="AF58" s="118">
        <f>M58*Navires!$L$2</f>
        <v>0</v>
      </c>
      <c r="AG58" s="118">
        <f>N58*Navires!$M$2</f>
        <v>0</v>
      </c>
      <c r="AH58" s="118">
        <f>O58*Navires!$N$2</f>
        <v>0</v>
      </c>
      <c r="AI58" s="118">
        <f>P58*Navires!$O$2</f>
        <v>0</v>
      </c>
      <c r="AJ58" s="118">
        <f>Q58*Navires!$P$2</f>
        <v>0</v>
      </c>
      <c r="AK58" s="35">
        <f>(SUM(V58:AJ58))*Générale!$B$8</f>
        <v>0</v>
      </c>
    </row>
    <row r="59" spans="1:37" s="117" customFormat="1" ht="15" customHeight="1" x14ac:dyDescent="0.25">
      <c r="A59" s="117">
        <v>12</v>
      </c>
      <c r="B59" s="118" t="s">
        <v>146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32"/>
      <c r="R59" s="34">
        <f>SUM(C59:Q59)</f>
        <v>0</v>
      </c>
      <c r="S59" s="135"/>
      <c r="U59" s="118" t="s">
        <v>146</v>
      </c>
      <c r="V59" s="118">
        <f>C59*Navires!$B$2</f>
        <v>0</v>
      </c>
      <c r="W59" s="118">
        <f>D59*Navires!$C$2</f>
        <v>0</v>
      </c>
      <c r="X59" s="118">
        <f>E59*Navires!$D$2</f>
        <v>0</v>
      </c>
      <c r="Y59" s="118">
        <f>F59*Navires!$E$2</f>
        <v>0</v>
      </c>
      <c r="Z59" s="118">
        <f>G59*Navires!$F$2</f>
        <v>0</v>
      </c>
      <c r="AA59" s="118">
        <f>H59*Navires!$G$2</f>
        <v>0</v>
      </c>
      <c r="AB59" s="118">
        <f>I59*Navires!$H$2</f>
        <v>0</v>
      </c>
      <c r="AC59" s="118">
        <f>J59*Navires!$I$2</f>
        <v>0</v>
      </c>
      <c r="AD59" s="118">
        <f>K59*Navires!$J$2</f>
        <v>0</v>
      </c>
      <c r="AE59" s="118">
        <f>L59*Navires!$K$2</f>
        <v>0</v>
      </c>
      <c r="AF59" s="118">
        <f>M59*Navires!$L$2</f>
        <v>0</v>
      </c>
      <c r="AG59" s="118">
        <f>N59*Navires!$M$2</f>
        <v>0</v>
      </c>
      <c r="AH59" s="118">
        <f>O59*Navires!$N$2</f>
        <v>0</v>
      </c>
      <c r="AI59" s="118">
        <f>P59*Navires!$O$2</f>
        <v>0</v>
      </c>
      <c r="AJ59" s="118">
        <f>Q59*Navires!$P$2</f>
        <v>0</v>
      </c>
      <c r="AK59" s="35">
        <f>(SUM(V59:AJ59))*Générale!$B$8</f>
        <v>0</v>
      </c>
    </row>
    <row r="60" spans="1:37" s="117" customFormat="1" ht="15" customHeight="1" x14ac:dyDescent="0.25">
      <c r="C60" s="215" t="s">
        <v>63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U60" s="217" t="s">
        <v>64</v>
      </c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</row>
    <row r="61" spans="1:37" s="117" customFormat="1" ht="26.25" customHeight="1" x14ac:dyDescent="0.25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</row>
    <row r="62" spans="1:37" s="117" customFormat="1" ht="45" x14ac:dyDescent="0.25">
      <c r="C62" s="24" t="s">
        <v>21</v>
      </c>
      <c r="D62" s="24" t="s">
        <v>22</v>
      </c>
      <c r="E62" s="23" t="s">
        <v>23</v>
      </c>
      <c r="F62" s="24" t="s">
        <v>24</v>
      </c>
      <c r="G62" s="24" t="s">
        <v>25</v>
      </c>
      <c r="H62" s="24" t="s">
        <v>26</v>
      </c>
      <c r="I62" s="25" t="s">
        <v>30</v>
      </c>
      <c r="J62" s="25" t="s">
        <v>33</v>
      </c>
      <c r="K62" s="25" t="s">
        <v>65</v>
      </c>
      <c r="L62" s="25" t="s">
        <v>31</v>
      </c>
      <c r="M62" s="25" t="s">
        <v>32</v>
      </c>
      <c r="N62" s="25" t="s">
        <v>29</v>
      </c>
      <c r="O62" s="25" t="s">
        <v>28</v>
      </c>
      <c r="P62" s="24" t="s">
        <v>27</v>
      </c>
      <c r="Q62" s="31" t="s">
        <v>34</v>
      </c>
      <c r="R62" s="33" t="s">
        <v>60</v>
      </c>
      <c r="U62" s="118"/>
      <c r="V62" s="23" t="s">
        <v>21</v>
      </c>
      <c r="W62" s="23" t="s">
        <v>22</v>
      </c>
      <c r="X62" s="23" t="s">
        <v>23</v>
      </c>
      <c r="Y62" s="23" t="s">
        <v>24</v>
      </c>
      <c r="Z62" s="23" t="s">
        <v>25</v>
      </c>
      <c r="AA62" s="23" t="s">
        <v>26</v>
      </c>
      <c r="AB62" s="23" t="s">
        <v>30</v>
      </c>
      <c r="AC62" s="23" t="s">
        <v>33</v>
      </c>
      <c r="AD62" s="23" t="s">
        <v>26</v>
      </c>
      <c r="AE62" s="23" t="s">
        <v>31</v>
      </c>
      <c r="AF62" s="23" t="s">
        <v>32</v>
      </c>
      <c r="AG62" s="23" t="s">
        <v>29</v>
      </c>
      <c r="AH62" s="23" t="s">
        <v>28</v>
      </c>
      <c r="AI62" s="23" t="s">
        <v>27</v>
      </c>
      <c r="AJ62" s="23" t="s">
        <v>34</v>
      </c>
      <c r="AK62" s="37" t="s">
        <v>60</v>
      </c>
    </row>
    <row r="63" spans="1:37" s="117" customFormat="1" x14ac:dyDescent="0.25">
      <c r="A63" s="117">
        <v>6</v>
      </c>
      <c r="B63" s="118" t="s">
        <v>147</v>
      </c>
      <c r="C63" s="118"/>
      <c r="D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32"/>
      <c r="R63" s="34">
        <f t="shared" ref="R63:R68" si="13">SUM(C63:Q63)</f>
        <v>0</v>
      </c>
      <c r="U63" s="118" t="s">
        <v>147</v>
      </c>
      <c r="V63" s="118">
        <f>C63*Navires!$B$2</f>
        <v>0</v>
      </c>
      <c r="W63" s="118">
        <f>D63*Navires!$C$2</f>
        <v>0</v>
      </c>
      <c r="X63" s="118">
        <f>E63*Navires!$D$2</f>
        <v>0</v>
      </c>
      <c r="Y63" s="118">
        <f>F63*Navires!$E$2</f>
        <v>0</v>
      </c>
      <c r="Z63" s="118">
        <f>G63*Navires!$F$2</f>
        <v>0</v>
      </c>
      <c r="AA63" s="118">
        <f>H63*Navires!$G$2</f>
        <v>0</v>
      </c>
      <c r="AB63" s="118">
        <f>I63*Navires!$H$2</f>
        <v>0</v>
      </c>
      <c r="AC63" s="118">
        <f>J63*Navires!$I$2</f>
        <v>0</v>
      </c>
      <c r="AD63" s="118">
        <f>K63*Navires!$J$2</f>
        <v>0</v>
      </c>
      <c r="AE63" s="118">
        <f>L63*Navires!$K$2</f>
        <v>0</v>
      </c>
      <c r="AF63" s="118">
        <f>M63*Navires!$L$2</f>
        <v>0</v>
      </c>
      <c r="AG63" s="118">
        <f>N63*Navires!$M$2</f>
        <v>0</v>
      </c>
      <c r="AH63" s="118">
        <f>O63*Navires!$N$2</f>
        <v>0</v>
      </c>
      <c r="AI63" s="118">
        <f>P63*Navires!$O$2</f>
        <v>0</v>
      </c>
      <c r="AJ63" s="118">
        <f>Q63*Navires!$P$2</f>
        <v>0</v>
      </c>
      <c r="AK63" s="35">
        <f>(SUM(V63:AJ63))*Générale!$B$8</f>
        <v>0</v>
      </c>
    </row>
    <row r="64" spans="1:37" s="117" customFormat="1" x14ac:dyDescent="0.25">
      <c r="A64" s="117">
        <v>7</v>
      </c>
      <c r="B64" s="118" t="s">
        <v>148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32"/>
      <c r="R64" s="34">
        <f t="shared" si="13"/>
        <v>0</v>
      </c>
      <c r="U64" s="118" t="s">
        <v>148</v>
      </c>
      <c r="V64" s="118">
        <f>C64*Navires!$B$2</f>
        <v>0</v>
      </c>
      <c r="W64" s="118">
        <f>D64*Navires!$C$2</f>
        <v>0</v>
      </c>
      <c r="X64" s="118">
        <f>E64*Navires!$D$2</f>
        <v>0</v>
      </c>
      <c r="Y64" s="118">
        <f>F64*Navires!$E$2</f>
        <v>0</v>
      </c>
      <c r="Z64" s="118">
        <f>G64*Navires!$F$2</f>
        <v>0</v>
      </c>
      <c r="AA64" s="118">
        <f>H64*Navires!$G$2</f>
        <v>0</v>
      </c>
      <c r="AB64" s="118">
        <f>I64*Navires!$H$2</f>
        <v>0</v>
      </c>
      <c r="AC64" s="118">
        <f>J64*Navires!$I$2</f>
        <v>0</v>
      </c>
      <c r="AD64" s="118">
        <f>K64*Navires!$J$2</f>
        <v>0</v>
      </c>
      <c r="AE64" s="118">
        <f>L64*Navires!$K$2</f>
        <v>0</v>
      </c>
      <c r="AF64" s="118">
        <f>M64*Navires!$L$2</f>
        <v>0</v>
      </c>
      <c r="AG64" s="118">
        <f>N64*Navires!$M$2</f>
        <v>0</v>
      </c>
      <c r="AH64" s="118">
        <f>O64*Navires!$N$2</f>
        <v>0</v>
      </c>
      <c r="AI64" s="118">
        <f>P64*Navires!$O$2</f>
        <v>0</v>
      </c>
      <c r="AJ64" s="118">
        <f>Q64*Navires!$P$2</f>
        <v>0</v>
      </c>
      <c r="AK64" s="35">
        <f>(SUM(V64:AJ64))*Générale!$B$8</f>
        <v>0</v>
      </c>
    </row>
    <row r="65" spans="1:37" s="117" customFormat="1" x14ac:dyDescent="0.25">
      <c r="A65" s="117">
        <v>8</v>
      </c>
      <c r="B65" s="118" t="s">
        <v>149</v>
      </c>
      <c r="C65" s="118"/>
      <c r="D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32"/>
      <c r="R65" s="34">
        <f t="shared" si="13"/>
        <v>0</v>
      </c>
      <c r="U65" s="118" t="s">
        <v>149</v>
      </c>
      <c r="V65" s="118">
        <f>C65*Navires!$B$2</f>
        <v>0</v>
      </c>
      <c r="W65" s="118">
        <f>D65*Navires!$C$2</f>
        <v>0</v>
      </c>
      <c r="X65" s="118">
        <f>E65*Navires!$D$2</f>
        <v>0</v>
      </c>
      <c r="Y65" s="118">
        <f>F65*Navires!$E$2</f>
        <v>0</v>
      </c>
      <c r="Z65" s="118">
        <f>G65*Navires!$F$2</f>
        <v>0</v>
      </c>
      <c r="AA65" s="118">
        <f>H65*Navires!$G$2</f>
        <v>0</v>
      </c>
      <c r="AB65" s="118">
        <f>I65*Navires!$H$2</f>
        <v>0</v>
      </c>
      <c r="AC65" s="118">
        <f>J65*Navires!$I$2</f>
        <v>0</v>
      </c>
      <c r="AD65" s="118">
        <f>K65*Navires!$J$2</f>
        <v>0</v>
      </c>
      <c r="AE65" s="118">
        <f>L65*Navires!$K$2</f>
        <v>0</v>
      </c>
      <c r="AF65" s="118">
        <f>M65*Navires!$L$2</f>
        <v>0</v>
      </c>
      <c r="AG65" s="118">
        <f>N65*Navires!$M$2</f>
        <v>0</v>
      </c>
      <c r="AH65" s="118">
        <f>O65*Navires!$N$2</f>
        <v>0</v>
      </c>
      <c r="AI65" s="118">
        <f>P65*Navires!$O$2</f>
        <v>0</v>
      </c>
      <c r="AJ65" s="118">
        <f>Q65*Navires!$P$2</f>
        <v>0</v>
      </c>
      <c r="AK65" s="35">
        <f>(SUM(V65:AJ65))*Générale!$B$8</f>
        <v>0</v>
      </c>
    </row>
    <row r="66" spans="1:37" s="117" customFormat="1" x14ac:dyDescent="0.25">
      <c r="A66" s="117">
        <v>9</v>
      </c>
      <c r="B66" s="118" t="s">
        <v>150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32"/>
      <c r="R66" s="34">
        <f t="shared" si="13"/>
        <v>0</v>
      </c>
      <c r="U66" s="118" t="s">
        <v>150</v>
      </c>
      <c r="V66" s="118">
        <f>C66*Navires!$B$2</f>
        <v>0</v>
      </c>
      <c r="W66" s="118">
        <f>D66*Navires!$C$2</f>
        <v>0</v>
      </c>
      <c r="X66" s="118">
        <f>E66*Navires!$D$2</f>
        <v>0</v>
      </c>
      <c r="Y66" s="118">
        <f>F66*Navires!$E$2</f>
        <v>0</v>
      </c>
      <c r="Z66" s="118">
        <f>G66*Navires!$F$2</f>
        <v>0</v>
      </c>
      <c r="AA66" s="118">
        <f>H66*Navires!$G$2</f>
        <v>0</v>
      </c>
      <c r="AB66" s="118">
        <f>I66*Navires!$H$2</f>
        <v>0</v>
      </c>
      <c r="AC66" s="118">
        <f>J66*Navires!$I$2</f>
        <v>0</v>
      </c>
      <c r="AD66" s="118">
        <f>K66*Navires!$J$2</f>
        <v>0</v>
      </c>
      <c r="AE66" s="118">
        <f>L66*Navires!$K$2</f>
        <v>0</v>
      </c>
      <c r="AF66" s="118">
        <f>M66*Navires!$L$2</f>
        <v>0</v>
      </c>
      <c r="AG66" s="118">
        <f>N66*Navires!$M$2</f>
        <v>0</v>
      </c>
      <c r="AH66" s="118">
        <f>O66*Navires!$N$2</f>
        <v>0</v>
      </c>
      <c r="AI66" s="118">
        <f>P66*Navires!$O$2</f>
        <v>0</v>
      </c>
      <c r="AJ66" s="118">
        <f>Q66*Navires!$P$2</f>
        <v>0</v>
      </c>
      <c r="AK66" s="35">
        <f>(SUM(V66:AJ66))*Générale!$B$8</f>
        <v>0</v>
      </c>
    </row>
    <row r="67" spans="1:37" s="117" customFormat="1" x14ac:dyDescent="0.25">
      <c r="A67" s="117">
        <v>10</v>
      </c>
      <c r="B67" s="118" t="s">
        <v>151</v>
      </c>
      <c r="C67" s="118"/>
      <c r="D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32"/>
      <c r="R67" s="34">
        <f t="shared" si="13"/>
        <v>0</v>
      </c>
      <c r="U67" s="118" t="s">
        <v>151</v>
      </c>
      <c r="V67" s="118">
        <f>C67*Navires!$B$2</f>
        <v>0</v>
      </c>
      <c r="W67" s="118">
        <f>D67*Navires!$C$2</f>
        <v>0</v>
      </c>
      <c r="X67" s="118">
        <f>E67*Navires!$D$2</f>
        <v>0</v>
      </c>
      <c r="Y67" s="118">
        <f>F67*Navires!$E$2</f>
        <v>0</v>
      </c>
      <c r="Z67" s="118">
        <f>G67*Navires!$F$2</f>
        <v>0</v>
      </c>
      <c r="AA67" s="118">
        <f>H67*Navires!$G$2</f>
        <v>0</v>
      </c>
      <c r="AB67" s="118">
        <f>I67*Navires!$H$2</f>
        <v>0</v>
      </c>
      <c r="AC67" s="118">
        <f>J67*Navires!$I$2</f>
        <v>0</v>
      </c>
      <c r="AD67" s="118">
        <f>K67*Navires!$J$2</f>
        <v>0</v>
      </c>
      <c r="AE67" s="118">
        <f>L67*Navires!$K$2</f>
        <v>0</v>
      </c>
      <c r="AF67" s="118">
        <f>M67*Navires!$L$2</f>
        <v>0</v>
      </c>
      <c r="AG67" s="118">
        <f>N67*Navires!$M$2</f>
        <v>0</v>
      </c>
      <c r="AH67" s="118">
        <f>O67*Navires!$N$2</f>
        <v>0</v>
      </c>
      <c r="AI67" s="118">
        <f>P67*Navires!$O$2</f>
        <v>0</v>
      </c>
      <c r="AJ67" s="118">
        <f>Q67*Navires!$P$2</f>
        <v>0</v>
      </c>
      <c r="AK67" s="35">
        <f>(SUM(V67:AJ67))*Générale!$B$8</f>
        <v>0</v>
      </c>
    </row>
    <row r="68" spans="1:37" s="117" customFormat="1" x14ac:dyDescent="0.25">
      <c r="A68" s="117">
        <v>11</v>
      </c>
      <c r="B68" s="118" t="s">
        <v>152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32"/>
      <c r="R68" s="34">
        <f t="shared" si="13"/>
        <v>0</v>
      </c>
      <c r="U68" s="118" t="s">
        <v>152</v>
      </c>
      <c r="V68" s="118">
        <f>C68*Navires!$B$2</f>
        <v>0</v>
      </c>
      <c r="W68" s="118">
        <f>D68*Navires!$C$2</f>
        <v>0</v>
      </c>
      <c r="X68" s="118">
        <f>E68*Navires!$D$2</f>
        <v>0</v>
      </c>
      <c r="Y68" s="118">
        <f>F68*Navires!$E$2</f>
        <v>0</v>
      </c>
      <c r="Z68" s="118">
        <f>G68*Navires!$F$2</f>
        <v>0</v>
      </c>
      <c r="AA68" s="118">
        <f>H68*Navires!$G$2</f>
        <v>0</v>
      </c>
      <c r="AB68" s="118">
        <f>I68*Navires!$H$2</f>
        <v>0</v>
      </c>
      <c r="AC68" s="118">
        <f>J68*Navires!$I$2</f>
        <v>0</v>
      </c>
      <c r="AD68" s="118">
        <f>K68*Navires!$J$2</f>
        <v>0</v>
      </c>
      <c r="AE68" s="118">
        <f>L68*Navires!$K$2</f>
        <v>0</v>
      </c>
      <c r="AF68" s="118">
        <f>M68*Navires!$L$2</f>
        <v>0</v>
      </c>
      <c r="AG68" s="118">
        <f>N68*Navires!$M$2</f>
        <v>0</v>
      </c>
      <c r="AH68" s="118">
        <f>O68*Navires!$N$2</f>
        <v>0</v>
      </c>
      <c r="AI68" s="118">
        <f>P68*Navires!$O$2</f>
        <v>0</v>
      </c>
      <c r="AJ68" s="118">
        <f>Q68*Navires!$P$2</f>
        <v>0</v>
      </c>
      <c r="AK68" s="35">
        <f>(SUM(V68:AJ68))*Générale!$B$8</f>
        <v>0</v>
      </c>
    </row>
    <row r="69" spans="1:37" s="117" customFormat="1" x14ac:dyDescent="0.25">
      <c r="A69" s="117">
        <v>12</v>
      </c>
      <c r="B69" s="118" t="s">
        <v>146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32"/>
      <c r="R69" s="34">
        <f>SUM(C69:Q69)</f>
        <v>0</v>
      </c>
      <c r="U69" s="118" t="s">
        <v>146</v>
      </c>
      <c r="V69" s="118">
        <f>C69*Navires!$B$2</f>
        <v>0</v>
      </c>
      <c r="W69" s="118">
        <f>D69*Navires!$C$2</f>
        <v>0</v>
      </c>
      <c r="X69" s="118">
        <f>E69*Navires!$D$2</f>
        <v>0</v>
      </c>
      <c r="Y69" s="118">
        <f>F69*Navires!$E$2</f>
        <v>0</v>
      </c>
      <c r="Z69" s="118">
        <f>G69*Navires!$F$2</f>
        <v>0</v>
      </c>
      <c r="AA69" s="118">
        <f>H69*Navires!$G$2</f>
        <v>0</v>
      </c>
      <c r="AB69" s="118">
        <f>I69*Navires!$H$2</f>
        <v>0</v>
      </c>
      <c r="AC69" s="118">
        <f>J69*Navires!$I$2</f>
        <v>0</v>
      </c>
      <c r="AD69" s="118">
        <f>K69*Navires!$J$2</f>
        <v>0</v>
      </c>
      <c r="AE69" s="118">
        <f>L69*Navires!$K$2</f>
        <v>0</v>
      </c>
      <c r="AF69" s="118">
        <f>M69*Navires!$L$2</f>
        <v>0</v>
      </c>
      <c r="AG69" s="118">
        <f>N69*Navires!$M$2</f>
        <v>0</v>
      </c>
      <c r="AH69" s="118">
        <f>O69*Navires!$N$2</f>
        <v>0</v>
      </c>
      <c r="AI69" s="118">
        <f>P69*Navires!$O$2</f>
        <v>0</v>
      </c>
      <c r="AJ69" s="118">
        <f>Q69*Navires!$P$2</f>
        <v>0</v>
      </c>
      <c r="AK69" s="35">
        <f>(SUM(V69:AJ69))*Générale!$B$8</f>
        <v>0</v>
      </c>
    </row>
    <row r="70" spans="1:37" s="117" customFormat="1" x14ac:dyDescent="0.25"/>
    <row r="71" spans="1:37" s="117" customFormat="1" x14ac:dyDescent="0.25">
      <c r="B71" s="117" t="s">
        <v>154</v>
      </c>
    </row>
    <row r="72" spans="1:37" s="117" customFormat="1" ht="23.25" customHeight="1" x14ac:dyDescent="0.25">
      <c r="C72" s="215" t="s">
        <v>61</v>
      </c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V72" s="215" t="s">
        <v>62</v>
      </c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7"/>
    </row>
    <row r="73" spans="1:37" s="117" customFormat="1" ht="23.25" customHeight="1" x14ac:dyDescent="0.25"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8"/>
    </row>
    <row r="74" spans="1:37" s="117" customFormat="1" ht="45" x14ac:dyDescent="0.25">
      <c r="C74" s="24" t="s">
        <v>21</v>
      </c>
      <c r="D74" s="24" t="s">
        <v>22</v>
      </c>
      <c r="E74" s="23" t="s">
        <v>23</v>
      </c>
      <c r="F74" s="24" t="s">
        <v>24</v>
      </c>
      <c r="G74" s="24" t="s">
        <v>25</v>
      </c>
      <c r="H74" s="24" t="s">
        <v>26</v>
      </c>
      <c r="I74" s="25" t="s">
        <v>30</v>
      </c>
      <c r="J74" s="25" t="s">
        <v>33</v>
      </c>
      <c r="K74" s="25" t="s">
        <v>65</v>
      </c>
      <c r="L74" s="25" t="s">
        <v>31</v>
      </c>
      <c r="M74" s="25" t="s">
        <v>32</v>
      </c>
      <c r="N74" s="25" t="s">
        <v>29</v>
      </c>
      <c r="O74" s="25" t="s">
        <v>28</v>
      </c>
      <c r="P74" s="24" t="s">
        <v>27</v>
      </c>
      <c r="Q74" s="31" t="s">
        <v>34</v>
      </c>
      <c r="R74" s="33" t="s">
        <v>60</v>
      </c>
      <c r="S74" s="87"/>
      <c r="V74" s="24" t="s">
        <v>21</v>
      </c>
      <c r="W74" s="24" t="s">
        <v>22</v>
      </c>
      <c r="X74" s="24" t="s">
        <v>23</v>
      </c>
      <c r="Y74" s="24" t="s">
        <v>24</v>
      </c>
      <c r="Z74" s="24" t="s">
        <v>25</v>
      </c>
      <c r="AA74" s="24" t="s">
        <v>26</v>
      </c>
      <c r="AB74" s="25" t="s">
        <v>30</v>
      </c>
      <c r="AC74" s="25" t="s">
        <v>33</v>
      </c>
      <c r="AD74" s="25" t="s">
        <v>26</v>
      </c>
      <c r="AE74" s="25" t="s">
        <v>31</v>
      </c>
      <c r="AF74" s="25" t="s">
        <v>32</v>
      </c>
      <c r="AG74" s="25" t="s">
        <v>29</v>
      </c>
      <c r="AH74" s="25" t="s">
        <v>28</v>
      </c>
      <c r="AI74" s="24" t="s">
        <v>27</v>
      </c>
      <c r="AJ74" s="25" t="s">
        <v>34</v>
      </c>
      <c r="AK74" s="33" t="s">
        <v>60</v>
      </c>
    </row>
    <row r="75" spans="1:37" s="117" customFormat="1" x14ac:dyDescent="0.25">
      <c r="A75" s="117">
        <v>24</v>
      </c>
      <c r="B75" s="118" t="s">
        <v>147</v>
      </c>
      <c r="C75" s="118"/>
      <c r="D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32"/>
      <c r="R75" s="34">
        <f t="shared" ref="R75:R76" si="14">SUM(C75:Q75)</f>
        <v>0</v>
      </c>
      <c r="S75" s="135"/>
      <c r="U75" s="118" t="s">
        <v>147</v>
      </c>
      <c r="V75" s="118">
        <f>C75*Navires!$B$2</f>
        <v>0</v>
      </c>
      <c r="W75" s="118">
        <f>D75*Navires!$C$2</f>
        <v>0</v>
      </c>
      <c r="X75" s="118">
        <f>E75*Navires!$D$2</f>
        <v>0</v>
      </c>
      <c r="Y75" s="118">
        <f>F75*Navires!$E$2</f>
        <v>0</v>
      </c>
      <c r="Z75" s="118">
        <f>G75*Navires!$F$2</f>
        <v>0</v>
      </c>
      <c r="AA75" s="118">
        <f>H75*Navires!$G$2</f>
        <v>0</v>
      </c>
      <c r="AB75" s="118">
        <f>I75*Navires!$H$2</f>
        <v>0</v>
      </c>
      <c r="AC75" s="118">
        <f>J75*Navires!$I$2</f>
        <v>0</v>
      </c>
      <c r="AD75" s="118">
        <f>K75*Navires!$J$2</f>
        <v>0</v>
      </c>
      <c r="AE75" s="118">
        <f>L75*Navires!$K$2</f>
        <v>0</v>
      </c>
      <c r="AF75" s="118">
        <f>M75*Navires!$L$2</f>
        <v>0</v>
      </c>
      <c r="AG75" s="118">
        <f>N75*Navires!$M$2</f>
        <v>0</v>
      </c>
      <c r="AH75" s="118">
        <f>O75*Navires!$N$2</f>
        <v>0</v>
      </c>
      <c r="AI75" s="118">
        <f>P75*Navires!$O$2</f>
        <v>0</v>
      </c>
      <c r="AJ75" s="118">
        <f>Q75*Navires!$P$2</f>
        <v>0</v>
      </c>
      <c r="AK75" s="35">
        <f>(SUM(V75:AJ75))*Générale!$B$13</f>
        <v>0</v>
      </c>
    </row>
    <row r="76" spans="1:37" s="117" customFormat="1" x14ac:dyDescent="0.25">
      <c r="A76" s="117">
        <v>25</v>
      </c>
      <c r="B76" s="118" t="s">
        <v>148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32"/>
      <c r="R76" s="34">
        <f t="shared" si="14"/>
        <v>0</v>
      </c>
      <c r="S76" s="135"/>
      <c r="U76" s="118" t="s">
        <v>148</v>
      </c>
      <c r="V76" s="118">
        <f>C76*Navires!$B$2</f>
        <v>0</v>
      </c>
      <c r="W76" s="118">
        <f>D76*Navires!$C$2</f>
        <v>0</v>
      </c>
      <c r="X76" s="118">
        <f>E76*Navires!$D$2</f>
        <v>0</v>
      </c>
      <c r="Y76" s="118">
        <f>F76*Navires!$E$2</f>
        <v>0</v>
      </c>
      <c r="Z76" s="118">
        <f>G76*Navires!$F$2</f>
        <v>0</v>
      </c>
      <c r="AA76" s="118">
        <f>H76*Navires!$G$2</f>
        <v>0</v>
      </c>
      <c r="AB76" s="118">
        <f>I76*Navires!$H$2</f>
        <v>0</v>
      </c>
      <c r="AC76" s="118">
        <f>J76*Navires!$I$2</f>
        <v>0</v>
      </c>
      <c r="AD76" s="118">
        <f>K76*Navires!$J$2</f>
        <v>0</v>
      </c>
      <c r="AE76" s="118">
        <f>L76*Navires!$K$2</f>
        <v>0</v>
      </c>
      <c r="AF76" s="118">
        <f>M76*Navires!$L$2</f>
        <v>0</v>
      </c>
      <c r="AG76" s="118">
        <f>N76*Navires!$M$2</f>
        <v>0</v>
      </c>
      <c r="AH76" s="118">
        <f>O76*Navires!$N$2</f>
        <v>0</v>
      </c>
      <c r="AI76" s="118">
        <f>P76*Navires!$O$2</f>
        <v>0</v>
      </c>
      <c r="AJ76" s="118">
        <f>Q76*Navires!$P$2</f>
        <v>0</v>
      </c>
      <c r="AK76" s="35">
        <f>(SUM(V76:AJ76))*Générale!$B$13</f>
        <v>0</v>
      </c>
    </row>
    <row r="77" spans="1:37" s="117" customFormat="1" x14ac:dyDescent="0.25">
      <c r="A77" s="117">
        <v>26</v>
      </c>
      <c r="B77" s="118" t="s">
        <v>149</v>
      </c>
      <c r="C77" s="118">
        <v>1</v>
      </c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32"/>
      <c r="R77" s="34">
        <f t="shared" ref="R77:R80" si="15">SUM(C77:Q77)</f>
        <v>1</v>
      </c>
      <c r="S77" s="135"/>
      <c r="U77" s="118" t="s">
        <v>149</v>
      </c>
      <c r="V77" s="118">
        <f>C77*Navires!$B$2</f>
        <v>1955</v>
      </c>
      <c r="W77" s="118">
        <f>D77*Navires!$C$2</f>
        <v>0</v>
      </c>
      <c r="X77" s="118">
        <f>E77*Navires!$D$2</f>
        <v>0</v>
      </c>
      <c r="Y77" s="118">
        <f>F77*Navires!$E$2</f>
        <v>0</v>
      </c>
      <c r="Z77" s="118">
        <f>G77*Navires!$F$2</f>
        <v>0</v>
      </c>
      <c r="AA77" s="118">
        <f>H77*Navires!$G$2</f>
        <v>0</v>
      </c>
      <c r="AB77" s="118">
        <f>I77*Navires!$H$2</f>
        <v>0</v>
      </c>
      <c r="AC77" s="118">
        <f>J77*Navires!$I$2</f>
        <v>0</v>
      </c>
      <c r="AD77" s="118">
        <f>K77*Navires!$J$2</f>
        <v>0</v>
      </c>
      <c r="AE77" s="118">
        <f>L77*Navires!$K$2</f>
        <v>0</v>
      </c>
      <c r="AF77" s="118">
        <f>M77*Navires!$L$2</f>
        <v>0</v>
      </c>
      <c r="AG77" s="118">
        <f>N77*Navires!$M$2</f>
        <v>0</v>
      </c>
      <c r="AH77" s="118">
        <f>O77*Navires!$N$2</f>
        <v>0</v>
      </c>
      <c r="AI77" s="118">
        <f>P77*Navires!$O$2</f>
        <v>0</v>
      </c>
      <c r="AJ77" s="118">
        <f>Q77*Navires!$P$2</f>
        <v>0</v>
      </c>
      <c r="AK77" s="35">
        <f>(SUM(V77:AJ77))*Générale!$B$13</f>
        <v>1955</v>
      </c>
    </row>
    <row r="78" spans="1:37" s="117" customFormat="1" x14ac:dyDescent="0.25">
      <c r="A78" s="117">
        <v>27</v>
      </c>
      <c r="B78" s="118" t="s">
        <v>150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32"/>
      <c r="R78" s="34">
        <f t="shared" si="15"/>
        <v>0</v>
      </c>
      <c r="S78" s="135"/>
      <c r="U78" s="118" t="s">
        <v>150</v>
      </c>
      <c r="V78" s="118">
        <f>C78*Navires!$B$2</f>
        <v>0</v>
      </c>
      <c r="W78" s="118">
        <f>D78*Navires!$C$2</f>
        <v>0</v>
      </c>
      <c r="X78" s="118">
        <f>E78*Navires!$D$2</f>
        <v>0</v>
      </c>
      <c r="Y78" s="118">
        <f>F78*Navires!$E$2</f>
        <v>0</v>
      </c>
      <c r="Z78" s="118">
        <f>G78*Navires!$F$2</f>
        <v>0</v>
      </c>
      <c r="AA78" s="118">
        <f>H78*Navires!$G$2</f>
        <v>0</v>
      </c>
      <c r="AB78" s="118">
        <f>I78*Navires!$H$2</f>
        <v>0</v>
      </c>
      <c r="AC78" s="118">
        <f>J78*Navires!$I$2</f>
        <v>0</v>
      </c>
      <c r="AD78" s="118">
        <f>K78*Navires!$J$2</f>
        <v>0</v>
      </c>
      <c r="AE78" s="118">
        <f>L78*Navires!$K$2</f>
        <v>0</v>
      </c>
      <c r="AF78" s="118">
        <f>M78*Navires!$L$2</f>
        <v>0</v>
      </c>
      <c r="AG78" s="118">
        <f>N78*Navires!$M$2</f>
        <v>0</v>
      </c>
      <c r="AH78" s="118">
        <f>O78*Navires!$N$2</f>
        <v>0</v>
      </c>
      <c r="AI78" s="118">
        <f>P78*Navires!$O$2</f>
        <v>0</v>
      </c>
      <c r="AJ78" s="118">
        <f>Q78*Navires!$P$2</f>
        <v>0</v>
      </c>
      <c r="AK78" s="35">
        <f>(SUM(V78:AJ78))*Générale!$B$13</f>
        <v>0</v>
      </c>
    </row>
    <row r="79" spans="1:37" s="117" customFormat="1" x14ac:dyDescent="0.25">
      <c r="A79" s="117">
        <v>28</v>
      </c>
      <c r="B79" s="118" t="s">
        <v>151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32"/>
      <c r="R79" s="34">
        <f t="shared" si="15"/>
        <v>0</v>
      </c>
      <c r="S79" s="135"/>
      <c r="U79" s="118" t="s">
        <v>151</v>
      </c>
      <c r="V79" s="118">
        <f>C79*Navires!$B$2</f>
        <v>0</v>
      </c>
      <c r="W79" s="118">
        <f>D79*Navires!$C$2</f>
        <v>0</v>
      </c>
      <c r="X79" s="118">
        <f>E79*Navires!$D$2</f>
        <v>0</v>
      </c>
      <c r="Y79" s="118">
        <f>F79*Navires!$E$2</f>
        <v>0</v>
      </c>
      <c r="Z79" s="118">
        <f>G79*Navires!$F$2</f>
        <v>0</v>
      </c>
      <c r="AA79" s="118">
        <f>H79*Navires!$G$2</f>
        <v>0</v>
      </c>
      <c r="AB79" s="118">
        <f>I79*Navires!$H$2</f>
        <v>0</v>
      </c>
      <c r="AC79" s="118">
        <f>J79*Navires!$I$2</f>
        <v>0</v>
      </c>
      <c r="AD79" s="118">
        <f>K79*Navires!$J$2</f>
        <v>0</v>
      </c>
      <c r="AE79" s="118">
        <f>L79*Navires!$K$2</f>
        <v>0</v>
      </c>
      <c r="AF79" s="118">
        <f>M79*Navires!$L$2</f>
        <v>0</v>
      </c>
      <c r="AG79" s="118">
        <f>N79*Navires!$M$2</f>
        <v>0</v>
      </c>
      <c r="AH79" s="118">
        <f>O79*Navires!$N$2</f>
        <v>0</v>
      </c>
      <c r="AI79" s="118">
        <f>P79*Navires!$O$2</f>
        <v>0</v>
      </c>
      <c r="AJ79" s="118">
        <f>Q79*Navires!$P$2</f>
        <v>0</v>
      </c>
      <c r="AK79" s="35">
        <f>(SUM(V79:AJ79))*Générale!$B$13</f>
        <v>0</v>
      </c>
    </row>
    <row r="80" spans="1:37" s="117" customFormat="1" x14ac:dyDescent="0.25">
      <c r="A80" s="117">
        <v>29</v>
      </c>
      <c r="B80" s="118" t="s">
        <v>152</v>
      </c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32"/>
      <c r="R80" s="34">
        <f t="shared" si="15"/>
        <v>0</v>
      </c>
      <c r="S80" s="135"/>
      <c r="U80" s="118" t="s">
        <v>152</v>
      </c>
      <c r="V80" s="118">
        <f>C80*Navires!$B$2</f>
        <v>0</v>
      </c>
      <c r="W80" s="118">
        <f>D80*Navires!$C$2</f>
        <v>0</v>
      </c>
      <c r="X80" s="118">
        <f>E80*Navires!$D$2</f>
        <v>0</v>
      </c>
      <c r="Y80" s="118">
        <f>F80*Navires!$E$2</f>
        <v>0</v>
      </c>
      <c r="Z80" s="118">
        <f>G80*Navires!$F$2</f>
        <v>0</v>
      </c>
      <c r="AA80" s="118">
        <f>H80*Navires!$G$2</f>
        <v>0</v>
      </c>
      <c r="AB80" s="118">
        <f>I80*Navires!$H$2</f>
        <v>0</v>
      </c>
      <c r="AC80" s="118">
        <f>J80*Navires!$I$2</f>
        <v>0</v>
      </c>
      <c r="AD80" s="118">
        <f>K80*Navires!$J$2</f>
        <v>0</v>
      </c>
      <c r="AE80" s="118">
        <f>L80*Navires!$K$2</f>
        <v>0</v>
      </c>
      <c r="AF80" s="118">
        <f>M80*Navires!$L$2</f>
        <v>0</v>
      </c>
      <c r="AG80" s="118">
        <f>N80*Navires!$M$2</f>
        <v>0</v>
      </c>
      <c r="AH80" s="118">
        <f>O80*Navires!$N$2</f>
        <v>0</v>
      </c>
      <c r="AI80" s="118">
        <f>P80*Navires!$O$2</f>
        <v>0</v>
      </c>
      <c r="AJ80" s="118">
        <f>Q80*Navires!$P$2</f>
        <v>0</v>
      </c>
      <c r="AK80" s="35">
        <f>(SUM(V80:AJ80))*Générale!$B$13</f>
        <v>0</v>
      </c>
    </row>
    <row r="81" spans="1:37" s="117" customFormat="1" ht="15" customHeight="1" x14ac:dyDescent="0.25">
      <c r="A81" s="117">
        <v>30</v>
      </c>
      <c r="B81" s="118" t="s">
        <v>146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32"/>
      <c r="R81" s="34">
        <f>SUM(C81:Q81)</f>
        <v>0</v>
      </c>
      <c r="S81" s="135"/>
      <c r="U81" s="118" t="s">
        <v>146</v>
      </c>
      <c r="V81" s="118">
        <f>C81*Navires!$B$2</f>
        <v>0</v>
      </c>
      <c r="W81" s="118">
        <f>D81*Navires!$C$2</f>
        <v>0</v>
      </c>
      <c r="X81" s="118">
        <f>E81*Navires!$D$2</f>
        <v>0</v>
      </c>
      <c r="Y81" s="118">
        <f>F81*Navires!$E$2</f>
        <v>0</v>
      </c>
      <c r="Z81" s="118">
        <f>G81*Navires!$F$2</f>
        <v>0</v>
      </c>
      <c r="AA81" s="118">
        <f>H81*Navires!$G$2</f>
        <v>0</v>
      </c>
      <c r="AB81" s="118">
        <f>I81*Navires!$H$2</f>
        <v>0</v>
      </c>
      <c r="AC81" s="118">
        <f>J81*Navires!$I$2</f>
        <v>0</v>
      </c>
      <c r="AD81" s="118">
        <f>K81*Navires!$J$2</f>
        <v>0</v>
      </c>
      <c r="AE81" s="118">
        <f>L81*Navires!$K$2</f>
        <v>0</v>
      </c>
      <c r="AF81" s="118">
        <f>M81*Navires!$L$2</f>
        <v>0</v>
      </c>
      <c r="AG81" s="118">
        <f>N81*Navires!$M$2</f>
        <v>0</v>
      </c>
      <c r="AH81" s="118">
        <f>O81*Navires!$N$2</f>
        <v>0</v>
      </c>
      <c r="AI81" s="118">
        <f>P81*Navires!$O$2</f>
        <v>0</v>
      </c>
      <c r="AJ81" s="118">
        <f>Q81*Navires!$P$2</f>
        <v>0</v>
      </c>
      <c r="AK81" s="35">
        <f>(SUM(V81:AJ81))*Générale!$B$13</f>
        <v>0</v>
      </c>
    </row>
    <row r="82" spans="1:37" s="117" customFormat="1" ht="15" customHeight="1" x14ac:dyDescent="0.25">
      <c r="C82" s="215" t="s">
        <v>63</v>
      </c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U82" s="217" t="s">
        <v>64</v>
      </c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</row>
    <row r="83" spans="1:37" s="117" customFormat="1" ht="26.25" customHeight="1" x14ac:dyDescent="0.25"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</row>
    <row r="84" spans="1:37" s="117" customFormat="1" ht="45" x14ac:dyDescent="0.25">
      <c r="C84" s="24" t="s">
        <v>21</v>
      </c>
      <c r="D84" s="24" t="s">
        <v>22</v>
      </c>
      <c r="E84" s="23" t="s">
        <v>23</v>
      </c>
      <c r="F84" s="24" t="s">
        <v>24</v>
      </c>
      <c r="G84" s="24" t="s">
        <v>25</v>
      </c>
      <c r="H84" s="24" t="s">
        <v>26</v>
      </c>
      <c r="I84" s="25" t="s">
        <v>30</v>
      </c>
      <c r="J84" s="25" t="s">
        <v>33</v>
      </c>
      <c r="K84" s="25" t="s">
        <v>65</v>
      </c>
      <c r="L84" s="25" t="s">
        <v>31</v>
      </c>
      <c r="M84" s="25" t="s">
        <v>32</v>
      </c>
      <c r="N84" s="25" t="s">
        <v>29</v>
      </c>
      <c r="O84" s="25" t="s">
        <v>28</v>
      </c>
      <c r="P84" s="24" t="s">
        <v>27</v>
      </c>
      <c r="Q84" s="31" t="s">
        <v>34</v>
      </c>
      <c r="R84" s="33" t="s">
        <v>60</v>
      </c>
      <c r="U84" s="118"/>
      <c r="V84" s="23" t="s">
        <v>21</v>
      </c>
      <c r="W84" s="23" t="s">
        <v>22</v>
      </c>
      <c r="X84" s="23" t="s">
        <v>23</v>
      </c>
      <c r="Y84" s="23" t="s">
        <v>24</v>
      </c>
      <c r="Z84" s="23" t="s">
        <v>25</v>
      </c>
      <c r="AA84" s="23" t="s">
        <v>26</v>
      </c>
      <c r="AB84" s="23" t="s">
        <v>30</v>
      </c>
      <c r="AC84" s="23" t="s">
        <v>33</v>
      </c>
      <c r="AD84" s="23" t="s">
        <v>26</v>
      </c>
      <c r="AE84" s="23" t="s">
        <v>31</v>
      </c>
      <c r="AF84" s="23" t="s">
        <v>32</v>
      </c>
      <c r="AG84" s="23" t="s">
        <v>29</v>
      </c>
      <c r="AH84" s="23" t="s">
        <v>28</v>
      </c>
      <c r="AI84" s="23" t="s">
        <v>27</v>
      </c>
      <c r="AJ84" s="23" t="s">
        <v>34</v>
      </c>
      <c r="AK84" s="37" t="s">
        <v>60</v>
      </c>
    </row>
    <row r="85" spans="1:37" s="117" customFormat="1" x14ac:dyDescent="0.25">
      <c r="A85" s="117">
        <v>24</v>
      </c>
      <c r="B85" s="118" t="s">
        <v>147</v>
      </c>
      <c r="C85" s="118"/>
      <c r="D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32"/>
      <c r="R85" s="34">
        <f t="shared" ref="R85:R86" si="16">SUM(C85:Q85)</f>
        <v>0</v>
      </c>
      <c r="U85" s="118" t="s">
        <v>147</v>
      </c>
      <c r="V85" s="118">
        <f>C85*Navires!$B$2</f>
        <v>0</v>
      </c>
      <c r="W85" s="118">
        <f>D85*Navires!$C$2</f>
        <v>0</v>
      </c>
      <c r="X85" s="118">
        <f>E85*Navires!$D$2</f>
        <v>0</v>
      </c>
      <c r="Y85" s="118">
        <f>F85*Navires!$E$2</f>
        <v>0</v>
      </c>
      <c r="Z85" s="118">
        <f>G85*Navires!$F$2</f>
        <v>0</v>
      </c>
      <c r="AA85" s="118">
        <f>H85*Navires!$G$2</f>
        <v>0</v>
      </c>
      <c r="AB85" s="118">
        <f>I85*Navires!$H$2</f>
        <v>0</v>
      </c>
      <c r="AC85" s="118">
        <f>J85*Navires!$I$2</f>
        <v>0</v>
      </c>
      <c r="AD85" s="118">
        <f>K85*Navires!$J$2</f>
        <v>0</v>
      </c>
      <c r="AE85" s="118">
        <f>L85*Navires!$K$2</f>
        <v>0</v>
      </c>
      <c r="AF85" s="118">
        <f>M85*Navires!$L$2</f>
        <v>0</v>
      </c>
      <c r="AG85" s="118">
        <f>N85*Navires!$M$2</f>
        <v>0</v>
      </c>
      <c r="AH85" s="118">
        <f>O85*Navires!$N$2</f>
        <v>0</v>
      </c>
      <c r="AI85" s="118">
        <f>P85*Navires!$O$2</f>
        <v>0</v>
      </c>
      <c r="AJ85" s="118">
        <f>Q85*Navires!$P$2</f>
        <v>0</v>
      </c>
      <c r="AK85" s="35">
        <f>(SUM(V85:AJ85))*Générale!$B$13</f>
        <v>0</v>
      </c>
    </row>
    <row r="86" spans="1:37" s="117" customFormat="1" x14ac:dyDescent="0.25">
      <c r="A86" s="117">
        <v>25</v>
      </c>
      <c r="B86" s="118" t="s">
        <v>148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32"/>
      <c r="R86" s="34">
        <f t="shared" si="16"/>
        <v>0</v>
      </c>
      <c r="U86" s="118" t="s">
        <v>148</v>
      </c>
      <c r="V86" s="118">
        <f>C86*Navires!$B$2</f>
        <v>0</v>
      </c>
      <c r="W86" s="118">
        <f>D86*Navires!$C$2</f>
        <v>0</v>
      </c>
      <c r="X86" s="118">
        <f>E86*Navires!$D$2</f>
        <v>0</v>
      </c>
      <c r="Y86" s="118">
        <f>F86*Navires!$E$2</f>
        <v>0</v>
      </c>
      <c r="Z86" s="118">
        <f>G86*Navires!$F$2</f>
        <v>0</v>
      </c>
      <c r="AA86" s="118">
        <f>H86*Navires!$G$2</f>
        <v>0</v>
      </c>
      <c r="AB86" s="118">
        <f>I86*Navires!$H$2</f>
        <v>0</v>
      </c>
      <c r="AC86" s="118">
        <f>J86*Navires!$I$2</f>
        <v>0</v>
      </c>
      <c r="AD86" s="118">
        <f>K86*Navires!$J$2</f>
        <v>0</v>
      </c>
      <c r="AE86" s="118">
        <f>L86*Navires!$K$2</f>
        <v>0</v>
      </c>
      <c r="AF86" s="118">
        <f>M86*Navires!$L$2</f>
        <v>0</v>
      </c>
      <c r="AG86" s="118">
        <f>N86*Navires!$M$2</f>
        <v>0</v>
      </c>
      <c r="AH86" s="118">
        <f>O86*Navires!$N$2</f>
        <v>0</v>
      </c>
      <c r="AI86" s="118">
        <f>P86*Navires!$O$2</f>
        <v>0</v>
      </c>
      <c r="AJ86" s="118">
        <f>Q86*Navires!$P$2</f>
        <v>0</v>
      </c>
      <c r="AK86" s="35">
        <f>(SUM(V86:AJ86))*Générale!$B$13</f>
        <v>0</v>
      </c>
    </row>
    <row r="87" spans="1:37" s="117" customFormat="1" x14ac:dyDescent="0.25">
      <c r="A87" s="117">
        <v>26</v>
      </c>
      <c r="B87" s="118" t="s">
        <v>149</v>
      </c>
      <c r="C87" s="118"/>
      <c r="D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32"/>
      <c r="R87" s="34">
        <f t="shared" ref="R87:R90" si="17">SUM(C87:Q87)</f>
        <v>0</v>
      </c>
      <c r="U87" s="118" t="s">
        <v>149</v>
      </c>
      <c r="V87" s="118">
        <f>C87*Navires!$B$2</f>
        <v>0</v>
      </c>
      <c r="W87" s="118">
        <f>D87*Navires!$C$2</f>
        <v>0</v>
      </c>
      <c r="X87" s="118">
        <f>E87*Navires!$D$2</f>
        <v>0</v>
      </c>
      <c r="Y87" s="118">
        <f>F87*Navires!$E$2</f>
        <v>0</v>
      </c>
      <c r="Z87" s="118">
        <f>G87*Navires!$F$2</f>
        <v>0</v>
      </c>
      <c r="AA87" s="118">
        <f>H87*Navires!$G$2</f>
        <v>0</v>
      </c>
      <c r="AB87" s="118">
        <f>I87*Navires!$H$2</f>
        <v>0</v>
      </c>
      <c r="AC87" s="118">
        <f>J87*Navires!$I$2</f>
        <v>0</v>
      </c>
      <c r="AD87" s="118">
        <f>K87*Navires!$J$2</f>
        <v>0</v>
      </c>
      <c r="AE87" s="118">
        <f>L87*Navires!$K$2</f>
        <v>0</v>
      </c>
      <c r="AF87" s="118">
        <f>M87*Navires!$L$2</f>
        <v>0</v>
      </c>
      <c r="AG87" s="118">
        <f>N87*Navires!$M$2</f>
        <v>0</v>
      </c>
      <c r="AH87" s="118">
        <f>O87*Navires!$N$2</f>
        <v>0</v>
      </c>
      <c r="AI87" s="118">
        <f>P87*Navires!$O$2</f>
        <v>0</v>
      </c>
      <c r="AJ87" s="118">
        <f>Q87*Navires!$P$2</f>
        <v>0</v>
      </c>
      <c r="AK87" s="35">
        <f>(SUM(V87:AJ87))*Générale!$B$13</f>
        <v>0</v>
      </c>
    </row>
    <row r="88" spans="1:37" s="117" customFormat="1" x14ac:dyDescent="0.25">
      <c r="A88" s="117">
        <v>27</v>
      </c>
      <c r="B88" s="118" t="s">
        <v>150</v>
      </c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32"/>
      <c r="R88" s="34">
        <f t="shared" si="17"/>
        <v>0</v>
      </c>
      <c r="U88" s="118" t="s">
        <v>150</v>
      </c>
      <c r="V88" s="118">
        <f>C88*Navires!$B$2</f>
        <v>0</v>
      </c>
      <c r="W88" s="118">
        <f>D88*Navires!$C$2</f>
        <v>0</v>
      </c>
      <c r="X88" s="118">
        <f>E88*Navires!$D$2</f>
        <v>0</v>
      </c>
      <c r="Y88" s="118">
        <f>F88*Navires!$E$2</f>
        <v>0</v>
      </c>
      <c r="Z88" s="118">
        <f>G88*Navires!$F$2</f>
        <v>0</v>
      </c>
      <c r="AA88" s="118">
        <f>H88*Navires!$G$2</f>
        <v>0</v>
      </c>
      <c r="AB88" s="118">
        <f>I88*Navires!$H$2</f>
        <v>0</v>
      </c>
      <c r="AC88" s="118">
        <f>J88*Navires!$I$2</f>
        <v>0</v>
      </c>
      <c r="AD88" s="118">
        <f>K88*Navires!$J$2</f>
        <v>0</v>
      </c>
      <c r="AE88" s="118">
        <f>L88*Navires!$K$2</f>
        <v>0</v>
      </c>
      <c r="AF88" s="118">
        <f>M88*Navires!$L$2</f>
        <v>0</v>
      </c>
      <c r="AG88" s="118">
        <f>N88*Navires!$M$2</f>
        <v>0</v>
      </c>
      <c r="AH88" s="118">
        <f>O88*Navires!$N$2</f>
        <v>0</v>
      </c>
      <c r="AI88" s="118">
        <f>P88*Navires!$O$2</f>
        <v>0</v>
      </c>
      <c r="AJ88" s="118">
        <f>Q88*Navires!$P$2</f>
        <v>0</v>
      </c>
      <c r="AK88" s="35">
        <f>(SUM(V88:AJ88))*Générale!$B$13</f>
        <v>0</v>
      </c>
    </row>
    <row r="89" spans="1:37" s="117" customFormat="1" x14ac:dyDescent="0.25">
      <c r="A89" s="117">
        <v>28</v>
      </c>
      <c r="B89" s="118" t="s">
        <v>151</v>
      </c>
      <c r="C89" s="118"/>
      <c r="D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32"/>
      <c r="R89" s="34">
        <f t="shared" si="17"/>
        <v>0</v>
      </c>
      <c r="U89" s="118" t="s">
        <v>151</v>
      </c>
      <c r="V89" s="118">
        <f>C89*Navires!$B$2</f>
        <v>0</v>
      </c>
      <c r="W89" s="118">
        <f>D89*Navires!$C$2</f>
        <v>0</v>
      </c>
      <c r="X89" s="118">
        <f>E89*Navires!$D$2</f>
        <v>0</v>
      </c>
      <c r="Y89" s="118">
        <f>F89*Navires!$E$2</f>
        <v>0</v>
      </c>
      <c r="Z89" s="118">
        <f>G89*Navires!$F$2</f>
        <v>0</v>
      </c>
      <c r="AA89" s="118">
        <f>H89*Navires!$G$2</f>
        <v>0</v>
      </c>
      <c r="AB89" s="118">
        <f>I89*Navires!$H$2</f>
        <v>0</v>
      </c>
      <c r="AC89" s="118">
        <f>J89*Navires!$I$2</f>
        <v>0</v>
      </c>
      <c r="AD89" s="118">
        <f>K89*Navires!$J$2</f>
        <v>0</v>
      </c>
      <c r="AE89" s="118">
        <f>L89*Navires!$K$2</f>
        <v>0</v>
      </c>
      <c r="AF89" s="118">
        <f>M89*Navires!$L$2</f>
        <v>0</v>
      </c>
      <c r="AG89" s="118">
        <f>N89*Navires!$M$2</f>
        <v>0</v>
      </c>
      <c r="AH89" s="118">
        <f>O89*Navires!$N$2</f>
        <v>0</v>
      </c>
      <c r="AI89" s="118">
        <f>P89*Navires!$O$2</f>
        <v>0</v>
      </c>
      <c r="AJ89" s="118">
        <f>Q89*Navires!$P$2</f>
        <v>0</v>
      </c>
      <c r="AK89" s="35">
        <f>(SUM(V89:AJ89))*Générale!$B$13</f>
        <v>0</v>
      </c>
    </row>
    <row r="90" spans="1:37" s="117" customFormat="1" x14ac:dyDescent="0.25">
      <c r="A90" s="117">
        <v>29</v>
      </c>
      <c r="B90" s="118" t="s">
        <v>152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32"/>
      <c r="R90" s="34">
        <f t="shared" si="17"/>
        <v>0</v>
      </c>
      <c r="U90" s="118" t="s">
        <v>152</v>
      </c>
      <c r="V90" s="118">
        <f>C90*Navires!$B$2</f>
        <v>0</v>
      </c>
      <c r="W90" s="118">
        <f>D90*Navires!$C$2</f>
        <v>0</v>
      </c>
      <c r="X90" s="118">
        <f>E90*Navires!$D$2</f>
        <v>0</v>
      </c>
      <c r="Y90" s="118">
        <f>F90*Navires!$E$2</f>
        <v>0</v>
      </c>
      <c r="Z90" s="118">
        <f>G90*Navires!$F$2</f>
        <v>0</v>
      </c>
      <c r="AA90" s="118">
        <f>H90*Navires!$G$2</f>
        <v>0</v>
      </c>
      <c r="AB90" s="118">
        <f>I90*Navires!$H$2</f>
        <v>0</v>
      </c>
      <c r="AC90" s="118">
        <f>J90*Navires!$I$2</f>
        <v>0</v>
      </c>
      <c r="AD90" s="118">
        <f>K90*Navires!$J$2</f>
        <v>0</v>
      </c>
      <c r="AE90" s="118">
        <f>L90*Navires!$K$2</f>
        <v>0</v>
      </c>
      <c r="AF90" s="118">
        <f>M90*Navires!$L$2</f>
        <v>0</v>
      </c>
      <c r="AG90" s="118">
        <f>N90*Navires!$M$2</f>
        <v>0</v>
      </c>
      <c r="AH90" s="118">
        <f>O90*Navires!$N$2</f>
        <v>0</v>
      </c>
      <c r="AI90" s="118">
        <f>P90*Navires!$O$2</f>
        <v>0</v>
      </c>
      <c r="AJ90" s="118">
        <f>Q90*Navires!$P$2</f>
        <v>0</v>
      </c>
      <c r="AK90" s="35">
        <f>(SUM(V90:AJ90))*Générale!$B$13</f>
        <v>0</v>
      </c>
    </row>
    <row r="91" spans="1:37" s="117" customFormat="1" x14ac:dyDescent="0.25">
      <c r="A91" s="117">
        <v>30</v>
      </c>
      <c r="B91" s="118" t="s">
        <v>146</v>
      </c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32"/>
      <c r="R91" s="34">
        <f>SUM(C91:Q91)</f>
        <v>0</v>
      </c>
      <c r="U91" s="118" t="s">
        <v>146</v>
      </c>
      <c r="V91" s="118">
        <f>C91*Navires!$B$2</f>
        <v>0</v>
      </c>
      <c r="W91" s="118">
        <f>D91*Navires!$C$2</f>
        <v>0</v>
      </c>
      <c r="X91" s="118">
        <f>E91*Navires!$D$2</f>
        <v>0</v>
      </c>
      <c r="Y91" s="118">
        <f>F91*Navires!$E$2</f>
        <v>0</v>
      </c>
      <c r="Z91" s="118">
        <f>G91*Navires!$F$2</f>
        <v>0</v>
      </c>
      <c r="AA91" s="118">
        <f>H91*Navires!$G$2</f>
        <v>0</v>
      </c>
      <c r="AB91" s="118">
        <f>I91*Navires!$H$2</f>
        <v>0</v>
      </c>
      <c r="AC91" s="118">
        <f>J91*Navires!$I$2</f>
        <v>0</v>
      </c>
      <c r="AD91" s="118">
        <f>K91*Navires!$J$2</f>
        <v>0</v>
      </c>
      <c r="AE91" s="118">
        <f>L91*Navires!$K$2</f>
        <v>0</v>
      </c>
      <c r="AF91" s="118">
        <f>M91*Navires!$L$2</f>
        <v>0</v>
      </c>
      <c r="AG91" s="118">
        <f>N91*Navires!$M$2</f>
        <v>0</v>
      </c>
      <c r="AH91" s="118">
        <f>O91*Navires!$N$2</f>
        <v>0</v>
      </c>
      <c r="AI91" s="118">
        <f>P91*Navires!$O$2</f>
        <v>0</v>
      </c>
      <c r="AJ91" s="118">
        <f>Q91*Navires!$P$2</f>
        <v>0</v>
      </c>
      <c r="AK91" s="35">
        <f>(SUM(V91:AJ91))*Générale!$B$13</f>
        <v>0</v>
      </c>
    </row>
  </sheetData>
  <mergeCells count="16">
    <mergeCell ref="C72:Q73"/>
    <mergeCell ref="V72:AJ73"/>
    <mergeCell ref="C82:Q83"/>
    <mergeCell ref="U82:AK83"/>
    <mergeCell ref="BF1:BT2"/>
    <mergeCell ref="BE18:BU19"/>
    <mergeCell ref="C50:Q51"/>
    <mergeCell ref="V50:AJ51"/>
    <mergeCell ref="C60:Q61"/>
    <mergeCell ref="U60:AK61"/>
    <mergeCell ref="C1:Q2"/>
    <mergeCell ref="V1:AJ2"/>
    <mergeCell ref="AN1:BB2"/>
    <mergeCell ref="C18:Q19"/>
    <mergeCell ref="U18:AK19"/>
    <mergeCell ref="AM18:B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4"/>
  <sheetViews>
    <sheetView zoomScale="70" zoomScaleNormal="70" workbookViewId="0">
      <selection activeCell="B4" sqref="B4"/>
    </sheetView>
  </sheetViews>
  <sheetFormatPr baseColWidth="10" defaultColWidth="11.42578125" defaultRowHeight="15" x14ac:dyDescent="0.25"/>
  <cols>
    <col min="1" max="1" width="11.42578125" style="117"/>
    <col min="2" max="2" width="12.5703125" style="117" customWidth="1"/>
    <col min="3" max="9" width="11.42578125" style="117"/>
    <col min="10" max="10" width="12.140625" style="117" customWidth="1"/>
    <col min="11" max="16384" width="11.42578125" style="117"/>
  </cols>
  <sheetData>
    <row r="1" spans="1:44" ht="17.25" thickTop="1" thickBot="1" x14ac:dyDescent="0.3">
      <c r="A1" s="140" t="s">
        <v>73</v>
      </c>
      <c r="B1" s="142"/>
      <c r="J1" s="140" t="s">
        <v>125</v>
      </c>
      <c r="K1" s="142"/>
      <c r="S1" s="140" t="s">
        <v>255</v>
      </c>
      <c r="T1" s="142"/>
      <c r="AB1" s="140" t="s">
        <v>184</v>
      </c>
      <c r="AC1" s="142"/>
      <c r="AK1" s="140" t="s">
        <v>256</v>
      </c>
      <c r="AL1" s="142"/>
    </row>
    <row r="2" spans="1:44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117" t="s">
        <v>74</v>
      </c>
      <c r="Q2" s="117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117" t="s">
        <v>74</v>
      </c>
      <c r="Z2" s="117" t="s">
        <v>75</v>
      </c>
      <c r="AB2" s="124"/>
      <c r="AC2" s="125">
        <v>2014</v>
      </c>
      <c r="AD2" s="125">
        <v>2015</v>
      </c>
      <c r="AE2" s="125">
        <v>2016</v>
      </c>
      <c r="AF2" s="125">
        <v>2017</v>
      </c>
      <c r="AG2" s="126" t="s">
        <v>1</v>
      </c>
      <c r="AH2" s="117" t="s">
        <v>74</v>
      </c>
      <c r="AI2" s="117" t="s">
        <v>75</v>
      </c>
      <c r="AK2" s="124"/>
      <c r="AL2" s="125">
        <v>2014</v>
      </c>
      <c r="AM2" s="125">
        <v>2015</v>
      </c>
      <c r="AN2" s="125">
        <v>2016</v>
      </c>
      <c r="AO2" s="125">
        <v>2017</v>
      </c>
      <c r="AP2" s="126" t="s">
        <v>1</v>
      </c>
      <c r="AQ2" s="117" t="s">
        <v>74</v>
      </c>
      <c r="AR2" s="117" t="s">
        <v>75</v>
      </c>
    </row>
    <row r="3" spans="1:44" x14ac:dyDescent="0.25">
      <c r="A3" s="119" t="s">
        <v>2</v>
      </c>
      <c r="B3" s="134">
        <f>'AJACCIO 2014'!BC4+'AJACCIO 2014'!BC21</f>
        <v>26288</v>
      </c>
      <c r="C3" s="134">
        <f>'AJACCIO 2015'!BC4+'AJACCIO 2015'!BC21</f>
        <v>23909.599999999999</v>
      </c>
      <c r="D3" s="134">
        <f>'AJACCIO 2016'!BC4+'AJACCIO 2016'!BC21</f>
        <v>24588.800000000003</v>
      </c>
      <c r="E3" s="134">
        <f>'AJACCIO 2017'!BC4+'AJACCIO 2017'!BC21</f>
        <v>23747.199999999997</v>
      </c>
      <c r="F3" s="127">
        <f t="shared" ref="F3:F14" si="0">AVERAGE(B3:E3)</f>
        <v>24633.399999999998</v>
      </c>
      <c r="G3" s="127">
        <f t="shared" ref="G3:G14" si="1">STDEVA(B3:E3)</f>
        <v>1161.7411071318784</v>
      </c>
      <c r="H3" s="127">
        <f t="shared" ref="H3:H14" si="2">STDEVA(B3:E3)</f>
        <v>1161.7411071318784</v>
      </c>
      <c r="J3" s="119" t="s">
        <v>2</v>
      </c>
      <c r="K3" s="41">
        <f>B22/B3</f>
        <v>0.94910225197808884</v>
      </c>
      <c r="L3" s="41">
        <f t="shared" ref="L3:N12" si="3">C22/C3</f>
        <v>0.70536520895372579</v>
      </c>
      <c r="M3" s="41">
        <f t="shared" si="3"/>
        <v>0.75949212649661624</v>
      </c>
      <c r="N3" s="41">
        <f t="shared" si="3"/>
        <v>0.50780723622153356</v>
      </c>
      <c r="O3" s="122">
        <f>AVERAGE(K3:N3)</f>
        <v>0.73044170591249113</v>
      </c>
      <c r="P3" s="123">
        <f>MAX(K3:N3)</f>
        <v>0.94910225197808884</v>
      </c>
      <c r="Q3" s="123">
        <f>MIN(K3:N3)</f>
        <v>0.50780723622153356</v>
      </c>
      <c r="S3" s="119" t="s">
        <v>2</v>
      </c>
      <c r="T3" s="41">
        <f t="shared" ref="T3:W14" si="4">B58/B3</f>
        <v>1.9890824710894706</v>
      </c>
      <c r="U3" s="41">
        <f t="shared" si="4"/>
        <v>2.1247950613979323</v>
      </c>
      <c r="V3" s="41">
        <f t="shared" si="4"/>
        <v>2.1204776158250906</v>
      </c>
      <c r="W3" s="41">
        <f t="shared" si="4"/>
        <v>2.4795344293221939</v>
      </c>
      <c r="X3" s="122">
        <f>AVERAGE(T3:W3)</f>
        <v>2.1784723944086721</v>
      </c>
      <c r="Y3" s="123">
        <f>MAX(T3:W3)</f>
        <v>2.4795344293221939</v>
      </c>
      <c r="Z3" s="123">
        <f>MIN(T3:W3)</f>
        <v>1.9890824710894706</v>
      </c>
      <c r="AB3" s="119" t="s">
        <v>2</v>
      </c>
      <c r="AC3" s="41">
        <f>B127/B144</f>
        <v>0</v>
      </c>
      <c r="AD3" s="41">
        <f>C127/C144</f>
        <v>0.83083083083083087</v>
      </c>
      <c r="AE3" s="41">
        <f>D127/D144</f>
        <v>0.11133122028526149</v>
      </c>
      <c r="AF3" s="41">
        <f>E127/E144</f>
        <v>0</v>
      </c>
      <c r="AG3" s="122">
        <f>AVERAGE(AC3:AF3)</f>
        <v>0.2355405127790231</v>
      </c>
      <c r="AH3" s="123">
        <f>MAX(AC3:AF3)</f>
        <v>0.83083083083083087</v>
      </c>
      <c r="AI3" s="123">
        <f>MIN(AC3:AF3)</f>
        <v>0</v>
      </c>
      <c r="AK3" s="119" t="s">
        <v>2</v>
      </c>
      <c r="AL3" s="41">
        <f>(B74+B91+B127)/(B3+B144)</f>
        <v>0.7130354675264855</v>
      </c>
      <c r="AM3" s="41">
        <f t="shared" ref="AM3:AO3" si="5">(C74+C91+C127)/(C3+C144)</f>
        <v>1.1388283915470554</v>
      </c>
      <c r="AN3" s="41">
        <f t="shared" si="5"/>
        <v>0.7528540651552369</v>
      </c>
      <c r="AO3" s="41">
        <f t="shared" si="5"/>
        <v>0.74807654710015759</v>
      </c>
      <c r="AP3" s="146">
        <f>AVERAGE(AL3:AO3)</f>
        <v>0.83819861783223382</v>
      </c>
      <c r="AQ3" s="123">
        <f>MAX(AL3:AO3)</f>
        <v>1.1388283915470554</v>
      </c>
      <c r="AR3" s="123">
        <f>MIN(AL3:AO3)</f>
        <v>0.7130354675264855</v>
      </c>
    </row>
    <row r="4" spans="1:44" x14ac:dyDescent="0.25">
      <c r="A4" s="119" t="s">
        <v>3</v>
      </c>
      <c r="B4" s="134">
        <f>'AJACCIO 2014'!BC5+'AJACCIO 2014'!BC22</f>
        <v>19595.2</v>
      </c>
      <c r="C4" s="134">
        <f>'AJACCIO 2015'!BC5+'AJACCIO 2015'!BC22</f>
        <v>20804.800000000003</v>
      </c>
      <c r="D4" s="134">
        <f>'AJACCIO 2016'!BC5+'AJACCIO 2016'!BC22</f>
        <v>24143.199999999997</v>
      </c>
      <c r="E4" s="134">
        <f>'AJACCIO 2017'!BC5+'AJACCIO 2017'!BC22</f>
        <v>20512.8</v>
      </c>
      <c r="F4" s="127">
        <f t="shared" si="0"/>
        <v>21264</v>
      </c>
      <c r="G4" s="127">
        <f t="shared" si="1"/>
        <v>1987.4482936670311</v>
      </c>
      <c r="H4" s="127">
        <f t="shared" si="2"/>
        <v>1987.4482936670311</v>
      </c>
      <c r="J4" s="119" t="s">
        <v>3</v>
      </c>
      <c r="K4" s="41">
        <f t="shared" ref="K4:M14" si="6">B23/B4</f>
        <v>0.93931166816363187</v>
      </c>
      <c r="L4" s="41">
        <f t="shared" si="3"/>
        <v>0.80923633007767426</v>
      </c>
      <c r="M4" s="41">
        <f t="shared" si="3"/>
        <v>0.6122220749527818</v>
      </c>
      <c r="N4" s="41">
        <f t="shared" si="3"/>
        <v>0.61142311142311145</v>
      </c>
      <c r="O4" s="122">
        <f t="shared" ref="O4:O14" si="7">AVERAGE(K4:N4)</f>
        <v>0.74304829615429979</v>
      </c>
      <c r="P4" s="123">
        <f t="shared" ref="P4:P14" si="8">MAX(K4:N4)</f>
        <v>0.93931166816363187</v>
      </c>
      <c r="Q4" s="123">
        <f t="shared" ref="Q4:Q14" si="9">MIN(K4:N4)</f>
        <v>0.61142311142311145</v>
      </c>
      <c r="S4" s="119" t="s">
        <v>3</v>
      </c>
      <c r="T4" s="41">
        <f t="shared" si="4"/>
        <v>2.5070935739364741</v>
      </c>
      <c r="U4" s="41">
        <f t="shared" si="4"/>
        <v>2.3883911405060365</v>
      </c>
      <c r="V4" s="41">
        <f t="shared" si="4"/>
        <v>2.2273352331091161</v>
      </c>
      <c r="W4" s="41">
        <f t="shared" si="4"/>
        <v>2.8091240591240592</v>
      </c>
      <c r="X4" s="122">
        <f t="shared" ref="X4:X14" si="10">AVERAGE(T4:W4)</f>
        <v>2.4829860016689214</v>
      </c>
      <c r="Y4" s="123">
        <f t="shared" ref="Y4:Y14" si="11">MAX(T4:W4)</f>
        <v>2.8091240591240592</v>
      </c>
      <c r="Z4" s="123">
        <f t="shared" ref="Z4:Z14" si="12">MIN(T4:W4)</f>
        <v>2.2273352331091161</v>
      </c>
      <c r="AB4" s="119" t="s">
        <v>3</v>
      </c>
      <c r="AC4" s="41">
        <f t="shared" ref="AC4:AF4" si="13">B128/B145</f>
        <v>0.22306133726284766</v>
      </c>
      <c r="AD4" s="41">
        <f t="shared" si="13"/>
        <v>8.8999999999999996E-2</v>
      </c>
      <c r="AE4" s="41">
        <f t="shared" si="13"/>
        <v>0.36716727084412221</v>
      </c>
      <c r="AF4" s="41">
        <f t="shared" si="13"/>
        <v>0.18803827751196173</v>
      </c>
      <c r="AG4" s="122">
        <f t="shared" ref="AG4:AG14" si="14">AVERAGE(AC4:AF4)</f>
        <v>0.2168167214047329</v>
      </c>
      <c r="AH4" s="123">
        <f t="shared" ref="AH4:AH14" si="15">MAX(AC4:AF4)</f>
        <v>0.36716727084412221</v>
      </c>
      <c r="AI4" s="123">
        <f t="shared" ref="AI4:AI14" si="16">MIN(AC4:AF4)</f>
        <v>8.8999999999999996E-2</v>
      </c>
      <c r="AK4" s="119" t="s">
        <v>3</v>
      </c>
      <c r="AL4" s="41">
        <f t="shared" ref="AL4:AL14" si="17">(B75+B92+B128)/(B4+B145)</f>
        <v>0.74301464235749204</v>
      </c>
      <c r="AM4" s="41">
        <f t="shared" ref="AM4:AM14" si="18">(C75+C92+C128)/(C4+C145)</f>
        <v>1.0960394542277185</v>
      </c>
      <c r="AN4" s="41">
        <f t="shared" ref="AN4:AN14" si="19">(D75+D92+D128)/(D4+D145)</f>
        <v>0.95863870497925596</v>
      </c>
      <c r="AO4" s="41">
        <f t="shared" ref="AO4:AO12" si="20">(E75+E92+E128)/(E4+E145)</f>
        <v>1.0674060014962179</v>
      </c>
      <c r="AP4" s="146">
        <f t="shared" ref="AP4:AP14" si="21">AVERAGE(AL4:AO4)</f>
        <v>0.96627470076517108</v>
      </c>
      <c r="AQ4" s="123">
        <f t="shared" ref="AQ4:AQ14" si="22">MAX(AL4:AO4)</f>
        <v>1.0960394542277185</v>
      </c>
      <c r="AR4" s="123">
        <f t="shared" ref="AR4:AR14" si="23">MIN(AL4:AO4)</f>
        <v>0.74301464235749204</v>
      </c>
    </row>
    <row r="5" spans="1:44" x14ac:dyDescent="0.25">
      <c r="A5" s="119" t="s">
        <v>4</v>
      </c>
      <c r="B5" s="134">
        <f>'AJACCIO 2014'!BC6+'AJACCIO 2014'!BC23</f>
        <v>21536.799999999999</v>
      </c>
      <c r="C5" s="134">
        <f>'AJACCIO 2015'!BC6+'AJACCIO 2015'!BC23</f>
        <v>22514.799999999999</v>
      </c>
      <c r="D5" s="134">
        <f>'AJACCIO 2016'!BC6+'AJACCIO 2016'!BC23</f>
        <v>26110</v>
      </c>
      <c r="E5" s="134">
        <f>'AJACCIO 2017'!BC6+'AJACCIO 2017'!BC23</f>
        <v>22298.799999999999</v>
      </c>
      <c r="F5" s="127">
        <f t="shared" si="0"/>
        <v>23115.100000000002</v>
      </c>
      <c r="G5" s="127">
        <f t="shared" si="1"/>
        <v>2040.1930202801893</v>
      </c>
      <c r="H5" s="127">
        <f t="shared" si="2"/>
        <v>2040.1930202801893</v>
      </c>
      <c r="J5" s="119" t="s">
        <v>4</v>
      </c>
      <c r="K5" s="41">
        <f t="shared" si="6"/>
        <v>0.92056387207013113</v>
      </c>
      <c r="L5" s="41">
        <f t="shared" si="3"/>
        <v>0.82678948958018728</v>
      </c>
      <c r="M5" s="41">
        <f t="shared" si="3"/>
        <v>0.68494829567215632</v>
      </c>
      <c r="N5" s="41">
        <f t="shared" si="3"/>
        <v>0.75878522611082211</v>
      </c>
      <c r="O5" s="122">
        <f t="shared" si="7"/>
        <v>0.79777172085832426</v>
      </c>
      <c r="P5" s="123">
        <f t="shared" si="8"/>
        <v>0.92056387207013113</v>
      </c>
      <c r="Q5" s="123">
        <f t="shared" si="9"/>
        <v>0.68494829567215632</v>
      </c>
      <c r="S5" s="119" t="s">
        <v>4</v>
      </c>
      <c r="T5" s="41">
        <f t="shared" si="4"/>
        <v>2.5453642138107799</v>
      </c>
      <c r="U5" s="41">
        <f t="shared" si="4"/>
        <v>2.6229857693605982</v>
      </c>
      <c r="V5" s="41">
        <f t="shared" si="4"/>
        <v>2.353734201455381</v>
      </c>
      <c r="W5" s="41">
        <f t="shared" si="4"/>
        <v>3.2536279979191707</v>
      </c>
      <c r="X5" s="122">
        <f t="shared" si="10"/>
        <v>2.6939280456364827</v>
      </c>
      <c r="Y5" s="123">
        <f t="shared" si="11"/>
        <v>3.2536279979191707</v>
      </c>
      <c r="Z5" s="123">
        <f t="shared" si="12"/>
        <v>2.353734201455381</v>
      </c>
      <c r="AB5" s="119" t="s">
        <v>4</v>
      </c>
      <c r="AC5" s="41">
        <f t="shared" ref="AC5:AF5" si="24">B129/B146</f>
        <v>0.29705144291091595</v>
      </c>
      <c r="AD5" s="41"/>
      <c r="AE5" s="41">
        <f t="shared" si="24"/>
        <v>0.19488188976377951</v>
      </c>
      <c r="AF5" s="41">
        <f t="shared" si="24"/>
        <v>0.12765280135823429</v>
      </c>
      <c r="AG5" s="122">
        <f t="shared" si="14"/>
        <v>0.20652871134430992</v>
      </c>
      <c r="AH5" s="123">
        <f t="shared" si="15"/>
        <v>0.29705144291091595</v>
      </c>
      <c r="AI5" s="123">
        <f t="shared" si="16"/>
        <v>0.12765280135823429</v>
      </c>
      <c r="AK5" s="119" t="s">
        <v>4</v>
      </c>
      <c r="AL5" s="41">
        <f t="shared" si="17"/>
        <v>0.87134327477326823</v>
      </c>
      <c r="AM5" s="41">
        <f t="shared" si="18"/>
        <v>1.4025441043224902</v>
      </c>
      <c r="AN5" s="41">
        <f t="shared" si="19"/>
        <v>0.96686900777216767</v>
      </c>
      <c r="AO5" s="41">
        <f t="shared" si="20"/>
        <v>2.2399662072704807</v>
      </c>
      <c r="AP5" s="146">
        <f t="shared" si="21"/>
        <v>1.3701806485346018</v>
      </c>
      <c r="AQ5" s="123">
        <f t="shared" si="22"/>
        <v>2.2399662072704807</v>
      </c>
      <c r="AR5" s="123">
        <f t="shared" si="23"/>
        <v>0.87134327477326823</v>
      </c>
    </row>
    <row r="6" spans="1:44" x14ac:dyDescent="0.25">
      <c r="A6" s="119" t="s">
        <v>5</v>
      </c>
      <c r="B6" s="134">
        <f>'AJACCIO 2014'!BC7+'AJACCIO 2014'!BC24</f>
        <v>32824</v>
      </c>
      <c r="C6" s="134">
        <f>'AJACCIO 2015'!BC7+'AJACCIO 2015'!BC24</f>
        <v>35914</v>
      </c>
      <c r="D6" s="134">
        <f>'AJACCIO 2016'!BC7+'AJACCIO 2016'!BC24</f>
        <v>35345.199999999997</v>
      </c>
      <c r="E6" s="134">
        <f>'AJACCIO 2017'!BC7+'AJACCIO 2017'!BC24</f>
        <v>38160</v>
      </c>
      <c r="F6" s="127">
        <f t="shared" si="0"/>
        <v>35560.800000000003</v>
      </c>
      <c r="G6" s="127">
        <f t="shared" si="1"/>
        <v>2192.1943709443285</v>
      </c>
      <c r="H6" s="127">
        <f t="shared" si="2"/>
        <v>2192.1943709443285</v>
      </c>
      <c r="J6" s="119" t="s">
        <v>5</v>
      </c>
      <c r="K6" s="41">
        <f>B25/B6</f>
        <v>0.66990616621983912</v>
      </c>
      <c r="L6" s="41">
        <f t="shared" si="3"/>
        <v>0.57907779695940298</v>
      </c>
      <c r="M6" s="41">
        <f t="shared" si="3"/>
        <v>0.50083179611375805</v>
      </c>
      <c r="N6" s="41">
        <f t="shared" si="3"/>
        <v>0.4247641509433962</v>
      </c>
      <c r="O6" s="122">
        <f t="shared" si="7"/>
        <v>0.54364497755909913</v>
      </c>
      <c r="P6" s="123">
        <f t="shared" si="8"/>
        <v>0.66990616621983912</v>
      </c>
      <c r="Q6" s="123">
        <f t="shared" si="9"/>
        <v>0.4247641509433962</v>
      </c>
      <c r="S6" s="119" t="s">
        <v>5</v>
      </c>
      <c r="T6" s="41">
        <f t="shared" si="4"/>
        <v>1.8635754326102851</v>
      </c>
      <c r="U6" s="41">
        <f t="shared" si="4"/>
        <v>1.6979172467561396</v>
      </c>
      <c r="V6" s="41">
        <f t="shared" si="4"/>
        <v>1.8018005273700533</v>
      </c>
      <c r="W6" s="41">
        <f t="shared" si="4"/>
        <v>1.7214360587002095</v>
      </c>
      <c r="X6" s="122">
        <f t="shared" si="10"/>
        <v>1.771182316359172</v>
      </c>
      <c r="Y6" s="123">
        <f t="shared" si="11"/>
        <v>1.8635754326102851</v>
      </c>
      <c r="Z6" s="123">
        <f t="shared" si="12"/>
        <v>1.6979172467561396</v>
      </c>
      <c r="AB6" s="119" t="s">
        <v>5</v>
      </c>
      <c r="AC6" s="41">
        <f t="shared" ref="AC6:AF6" si="25">B130/B147</f>
        <v>0.31076609824382795</v>
      </c>
      <c r="AD6" s="41">
        <f t="shared" si="25"/>
        <v>0.56571428571428573</v>
      </c>
      <c r="AE6" s="41">
        <f t="shared" si="25"/>
        <v>0.32932932932932935</v>
      </c>
      <c r="AF6" s="41">
        <f t="shared" si="25"/>
        <v>0.62608220176797591</v>
      </c>
      <c r="AG6" s="122">
        <f t="shared" si="14"/>
        <v>0.45797297876385473</v>
      </c>
      <c r="AH6" s="123">
        <f t="shared" si="15"/>
        <v>0.62608220176797591</v>
      </c>
      <c r="AI6" s="123">
        <f t="shared" si="16"/>
        <v>0.31076609824382795</v>
      </c>
      <c r="AK6" s="119" t="s">
        <v>5</v>
      </c>
      <c r="AL6" s="41">
        <f t="shared" si="17"/>
        <v>1.3092510815718097</v>
      </c>
      <c r="AM6" s="41">
        <f t="shared" si="18"/>
        <v>1.5015359410198648</v>
      </c>
      <c r="AN6" s="41">
        <f t="shared" si="19"/>
        <v>1.3475674702590799</v>
      </c>
      <c r="AO6" s="41">
        <f t="shared" si="20"/>
        <v>1.8677874341074228</v>
      </c>
      <c r="AP6" s="146">
        <f t="shared" si="21"/>
        <v>1.5065354817395444</v>
      </c>
      <c r="AQ6" s="123">
        <f t="shared" si="22"/>
        <v>1.8677874341074228</v>
      </c>
      <c r="AR6" s="123">
        <f t="shared" si="23"/>
        <v>1.3092510815718097</v>
      </c>
    </row>
    <row r="7" spans="1:44" x14ac:dyDescent="0.25">
      <c r="A7" s="119" t="s">
        <v>6</v>
      </c>
      <c r="B7" s="134">
        <f>'AJACCIO 2014'!BC8+'AJACCIO 2014'!BC25</f>
        <v>28339.68</v>
      </c>
      <c r="C7" s="134">
        <f>'AJACCIO 2015'!BC8+'AJACCIO 2015'!BC25</f>
        <v>24771.360000000001</v>
      </c>
      <c r="D7" s="134">
        <f>'AJACCIO 2016'!BC8+'AJACCIO 2016'!BC25</f>
        <v>18569.04</v>
      </c>
      <c r="E7" s="134">
        <f>'AJACCIO 2017'!BC8+'AJACCIO 2017'!BC25</f>
        <v>20272.32</v>
      </c>
      <c r="F7" s="127">
        <f t="shared" si="0"/>
        <v>22988.1</v>
      </c>
      <c r="G7" s="127">
        <f t="shared" si="1"/>
        <v>4424.2881542684545</v>
      </c>
      <c r="H7" s="127">
        <f t="shared" si="2"/>
        <v>4424.2881542684545</v>
      </c>
      <c r="J7" s="119" t="s">
        <v>6</v>
      </c>
      <c r="K7" s="41">
        <f t="shared" si="6"/>
        <v>0.65237151583927555</v>
      </c>
      <c r="L7" s="41">
        <f t="shared" si="3"/>
        <v>0.69487504925042465</v>
      </c>
      <c r="M7" s="41">
        <f t="shared" si="3"/>
        <v>0.90010038214145693</v>
      </c>
      <c r="N7" s="41">
        <f t="shared" si="3"/>
        <v>0.73726144812236583</v>
      </c>
      <c r="O7" s="122">
        <f t="shared" si="7"/>
        <v>0.74615209883838074</v>
      </c>
      <c r="P7" s="123">
        <f t="shared" si="8"/>
        <v>0.90010038214145693</v>
      </c>
      <c r="Q7" s="123">
        <f t="shared" si="9"/>
        <v>0.65237151583927555</v>
      </c>
      <c r="S7" s="119" t="s">
        <v>6</v>
      </c>
      <c r="T7" s="41">
        <f t="shared" si="4"/>
        <v>2.0229939081880954</v>
      </c>
      <c r="U7" s="41">
        <f t="shared" si="4"/>
        <v>2.3427458161360537</v>
      </c>
      <c r="V7" s="41">
        <f t="shared" si="4"/>
        <v>3.4615144347796116</v>
      </c>
      <c r="W7" s="41">
        <f t="shared" si="4"/>
        <v>3.3999561964294172</v>
      </c>
      <c r="X7" s="122">
        <f t="shared" si="10"/>
        <v>2.8068025888832944</v>
      </c>
      <c r="Y7" s="123">
        <f t="shared" si="11"/>
        <v>3.4615144347796116</v>
      </c>
      <c r="Z7" s="123">
        <f t="shared" si="12"/>
        <v>2.0229939081880954</v>
      </c>
      <c r="AB7" s="119" t="s">
        <v>6</v>
      </c>
      <c r="AC7" s="41">
        <f t="shared" ref="AC7:AF7" si="26">B131/B148</f>
        <v>0.46725440806045337</v>
      </c>
      <c r="AD7" s="41">
        <f t="shared" si="26"/>
        <v>0.43943233654333502</v>
      </c>
      <c r="AE7" s="41">
        <f t="shared" si="26"/>
        <v>0.26828769922353901</v>
      </c>
      <c r="AF7" s="41">
        <f t="shared" si="26"/>
        <v>0.23509933774834438</v>
      </c>
      <c r="AG7" s="122">
        <f t="shared" si="14"/>
        <v>0.35251844539391797</v>
      </c>
      <c r="AH7" s="123">
        <f t="shared" si="15"/>
        <v>0.46725440806045337</v>
      </c>
      <c r="AI7" s="123">
        <f t="shared" si="16"/>
        <v>0.23509933774834438</v>
      </c>
      <c r="AK7" s="119" t="s">
        <v>6</v>
      </c>
      <c r="AL7" s="41">
        <f t="shared" si="17"/>
        <v>2.5085339453345354</v>
      </c>
      <c r="AM7" s="41">
        <f t="shared" si="18"/>
        <v>2.3374648278048586</v>
      </c>
      <c r="AN7" s="41">
        <f t="shared" si="19"/>
        <v>2.7345610844051795</v>
      </c>
      <c r="AO7" s="41">
        <f t="shared" si="20"/>
        <v>2.690681001444621</v>
      </c>
      <c r="AP7" s="146">
        <f t="shared" si="21"/>
        <v>2.5678102147472988</v>
      </c>
      <c r="AQ7" s="123">
        <f t="shared" si="22"/>
        <v>2.7345610844051795</v>
      </c>
      <c r="AR7" s="123">
        <f t="shared" si="23"/>
        <v>2.3374648278048586</v>
      </c>
    </row>
    <row r="8" spans="1:44" x14ac:dyDescent="0.25">
      <c r="A8" s="119" t="s">
        <v>7</v>
      </c>
      <c r="B8" s="134">
        <f>'AJACCIO 2014'!BC9+'AJACCIO 2014'!BC26</f>
        <v>26064.479999999996</v>
      </c>
      <c r="C8" s="134">
        <f>'AJACCIO 2015'!BC9+'AJACCIO 2015'!BC26</f>
        <v>26652.479999999996</v>
      </c>
      <c r="D8" s="134">
        <f>'AJACCIO 2016'!BC9+'AJACCIO 2016'!BC26</f>
        <v>23336.400000000001</v>
      </c>
      <c r="E8" s="134">
        <f>'AJACCIO 2017'!BC9+'AJACCIO 2017'!BC26</f>
        <v>21571.200000000001</v>
      </c>
      <c r="F8" s="127">
        <f t="shared" si="0"/>
        <v>24406.139999999996</v>
      </c>
      <c r="G8" s="127">
        <f t="shared" si="1"/>
        <v>2378.890737465676</v>
      </c>
      <c r="H8" s="127">
        <f t="shared" si="2"/>
        <v>2378.890737465676</v>
      </c>
      <c r="J8" s="119" t="s">
        <v>7</v>
      </c>
      <c r="K8" s="41">
        <f t="shared" si="6"/>
        <v>0.80600111722927148</v>
      </c>
      <c r="L8" s="41">
        <f t="shared" si="3"/>
        <v>0.79782444260346519</v>
      </c>
      <c r="M8" s="41">
        <f t="shared" si="3"/>
        <v>0.74038840609519885</v>
      </c>
      <c r="N8" s="41">
        <f t="shared" si="3"/>
        <v>0.71164330218068539</v>
      </c>
      <c r="O8" s="122">
        <f t="shared" si="7"/>
        <v>0.76396431702715528</v>
      </c>
      <c r="P8" s="123">
        <f t="shared" si="8"/>
        <v>0.80600111722927148</v>
      </c>
      <c r="Q8" s="123">
        <f t="shared" si="9"/>
        <v>0.71164330218068539</v>
      </c>
      <c r="S8" s="119" t="s">
        <v>7</v>
      </c>
      <c r="T8" s="41">
        <f t="shared" si="4"/>
        <v>2.4186555803146663</v>
      </c>
      <c r="U8" s="41">
        <f t="shared" si="4"/>
        <v>2.5201407148603061</v>
      </c>
      <c r="V8" s="41">
        <f t="shared" si="4"/>
        <v>2.8671517457705558</v>
      </c>
      <c r="W8" s="41">
        <f t="shared" si="4"/>
        <v>3.4800567423230975</v>
      </c>
      <c r="X8" s="122">
        <f t="shared" si="10"/>
        <v>2.8215011958171567</v>
      </c>
      <c r="Y8" s="123">
        <f t="shared" si="11"/>
        <v>3.4800567423230975</v>
      </c>
      <c r="Z8" s="123">
        <f t="shared" si="12"/>
        <v>2.4186555803146663</v>
      </c>
      <c r="AB8" s="119" t="s">
        <v>7</v>
      </c>
      <c r="AC8" s="41">
        <f t="shared" ref="AC8:AF8" si="27">B132/B149</f>
        <v>0.46660064818149083</v>
      </c>
      <c r="AD8" s="41">
        <f t="shared" si="27"/>
        <v>0.44090005422013373</v>
      </c>
      <c r="AE8" s="41">
        <f t="shared" si="27"/>
        <v>0.47438180019782394</v>
      </c>
      <c r="AF8" s="41">
        <f t="shared" si="27"/>
        <v>0.28537355965803496</v>
      </c>
      <c r="AG8" s="122">
        <f t="shared" si="14"/>
        <v>0.41681401556437087</v>
      </c>
      <c r="AH8" s="123">
        <f t="shared" si="15"/>
        <v>0.47438180019782394</v>
      </c>
      <c r="AI8" s="123">
        <f t="shared" si="16"/>
        <v>0.28537355965803496</v>
      </c>
      <c r="AK8" s="119" t="s">
        <v>7</v>
      </c>
      <c r="AL8" s="41">
        <f t="shared" si="17"/>
        <v>2.2559425666391868</v>
      </c>
      <c r="AM8" s="41">
        <f t="shared" si="18"/>
        <v>1.9955729678358471</v>
      </c>
      <c r="AN8" s="41">
        <f t="shared" si="19"/>
        <v>2.1209919055498414</v>
      </c>
      <c r="AO8" s="41">
        <f t="shared" si="20"/>
        <v>3.0336346350955896</v>
      </c>
      <c r="AP8" s="146">
        <f t="shared" si="21"/>
        <v>2.3515355187801164</v>
      </c>
      <c r="AQ8" s="123">
        <f t="shared" si="22"/>
        <v>3.0336346350955896</v>
      </c>
      <c r="AR8" s="123">
        <f t="shared" si="23"/>
        <v>1.9955729678358471</v>
      </c>
    </row>
    <row r="9" spans="1:44" x14ac:dyDescent="0.25">
      <c r="A9" s="119" t="s">
        <v>8</v>
      </c>
      <c r="B9" s="134">
        <f>'AJACCIO 2014'!BC10+'AJACCIO 2014'!BC27</f>
        <v>26056.799999999999</v>
      </c>
      <c r="C9" s="134">
        <f>'AJACCIO 2015'!BC10+'AJACCIO 2015'!BC27</f>
        <v>25102.32</v>
      </c>
      <c r="D9" s="134">
        <f>'AJACCIO 2016'!BC10+'AJACCIO 2016'!BC27</f>
        <v>28835.760000000002</v>
      </c>
      <c r="E9" s="134">
        <f>'AJACCIO 2017'!BC10+'AJACCIO 2017'!BC27</f>
        <v>29415.84</v>
      </c>
      <c r="F9" s="127">
        <f t="shared" si="0"/>
        <v>27352.68</v>
      </c>
      <c r="G9" s="127">
        <f t="shared" si="1"/>
        <v>2097.5843706511555</v>
      </c>
      <c r="H9" s="127">
        <f t="shared" si="2"/>
        <v>2097.5843706511555</v>
      </c>
      <c r="I9" s="45"/>
      <c r="J9" s="119" t="s">
        <v>8</v>
      </c>
      <c r="K9" s="41">
        <f t="shared" si="6"/>
        <v>0.8231248656780572</v>
      </c>
      <c r="L9" s="41">
        <f t="shared" si="3"/>
        <v>0.65153340408376592</v>
      </c>
      <c r="M9" s="41">
        <f t="shared" si="3"/>
        <v>0.45193884260376693</v>
      </c>
      <c r="N9" s="41">
        <f t="shared" si="3"/>
        <v>0.48130531033619983</v>
      </c>
      <c r="O9" s="122">
        <f t="shared" si="7"/>
        <v>0.6019756056754475</v>
      </c>
      <c r="P9" s="123">
        <f t="shared" si="8"/>
        <v>0.8231248656780572</v>
      </c>
      <c r="Q9" s="123">
        <f t="shared" si="9"/>
        <v>0.45193884260376693</v>
      </c>
      <c r="S9" s="119" t="s">
        <v>8</v>
      </c>
      <c r="T9" s="41">
        <f t="shared" si="4"/>
        <v>2.546206748334408</v>
      </c>
      <c r="U9" s="41">
        <f t="shared" si="4"/>
        <v>2.7342891015651145</v>
      </c>
      <c r="V9" s="41">
        <f t="shared" si="4"/>
        <v>2.2617056044300545</v>
      </c>
      <c r="W9" s="41">
        <f t="shared" si="4"/>
        <v>2.4123057509151531</v>
      </c>
      <c r="X9" s="122">
        <f t="shared" si="10"/>
        <v>2.4886268013111827</v>
      </c>
      <c r="Y9" s="123">
        <f t="shared" si="11"/>
        <v>2.7342891015651145</v>
      </c>
      <c r="Z9" s="123">
        <f t="shared" si="12"/>
        <v>2.2617056044300545</v>
      </c>
      <c r="AB9" s="119" t="s">
        <v>8</v>
      </c>
      <c r="AC9" s="41">
        <f t="shared" ref="AC9:AF9" si="28">B133/B150</f>
        <v>0.62073278782508989</v>
      </c>
      <c r="AD9" s="41">
        <f t="shared" si="28"/>
        <v>0.74631150277054548</v>
      </c>
      <c r="AE9" s="41">
        <f t="shared" si="28"/>
        <v>0.74746687451286054</v>
      </c>
      <c r="AF9" s="41">
        <f t="shared" si="28"/>
        <v>0.75254161127857555</v>
      </c>
      <c r="AG9" s="122">
        <f t="shared" si="14"/>
        <v>0.71676319409676792</v>
      </c>
      <c r="AH9" s="123">
        <f t="shared" si="15"/>
        <v>0.75254161127857555</v>
      </c>
      <c r="AI9" s="123">
        <f t="shared" si="16"/>
        <v>0.62073278782508989</v>
      </c>
      <c r="AK9" s="119" t="s">
        <v>8</v>
      </c>
      <c r="AL9" s="41">
        <f t="shared" si="17"/>
        <v>2.1243802156957012</v>
      </c>
      <c r="AM9" s="41">
        <f t="shared" si="18"/>
        <v>2.626396144337209</v>
      </c>
      <c r="AN9" s="41">
        <f t="shared" si="19"/>
        <v>2.1913634580544281</v>
      </c>
      <c r="AO9" s="41">
        <f t="shared" si="20"/>
        <v>2.7551938477913684</v>
      </c>
      <c r="AP9" s="146">
        <f t="shared" si="21"/>
        <v>2.4243334164696768</v>
      </c>
      <c r="AQ9" s="123">
        <f t="shared" si="22"/>
        <v>2.7551938477913684</v>
      </c>
      <c r="AR9" s="123">
        <f t="shared" si="23"/>
        <v>2.1243802156957012</v>
      </c>
    </row>
    <row r="10" spans="1:44" x14ac:dyDescent="0.25">
      <c r="A10" s="119" t="s">
        <v>9</v>
      </c>
      <c r="B10" s="134">
        <f>'AJACCIO 2014'!BC11+'AJACCIO 2014'!BC28</f>
        <v>25609.439999999999</v>
      </c>
      <c r="C10" s="134">
        <f>'AJACCIO 2015'!BC11+'AJACCIO 2015'!BC28</f>
        <v>26082.719999999998</v>
      </c>
      <c r="D10" s="134">
        <f>'AJACCIO 2016'!BC11+'AJACCIO 2016'!BC28</f>
        <v>29268.239999999998</v>
      </c>
      <c r="E10" s="134">
        <f>'AJACCIO 2017'!BC11+'AJACCIO 2017'!BC28</f>
        <v>33849.119999999995</v>
      </c>
      <c r="F10" s="127">
        <f t="shared" si="0"/>
        <v>28702.379999999997</v>
      </c>
      <c r="G10" s="127">
        <f t="shared" si="1"/>
        <v>3796.4029697596684</v>
      </c>
      <c r="H10" s="127">
        <f t="shared" si="2"/>
        <v>3796.4029697596684</v>
      </c>
      <c r="J10" s="119" t="s">
        <v>9</v>
      </c>
      <c r="K10" s="41">
        <f t="shared" si="6"/>
        <v>0.51352157641869567</v>
      </c>
      <c r="L10" s="41">
        <f t="shared" si="3"/>
        <v>0.38745959010409958</v>
      </c>
      <c r="M10" s="41">
        <f t="shared" si="3"/>
        <v>0.26117047010684619</v>
      </c>
      <c r="N10" s="41">
        <f t="shared" si="3"/>
        <v>0.31941746196060639</v>
      </c>
      <c r="O10" s="122">
        <f t="shared" si="7"/>
        <v>0.37039227464756197</v>
      </c>
      <c r="P10" s="123">
        <f t="shared" si="8"/>
        <v>0.51352157641869567</v>
      </c>
      <c r="Q10" s="123">
        <f t="shared" si="9"/>
        <v>0.26117047010684619</v>
      </c>
      <c r="S10" s="119" t="s">
        <v>9</v>
      </c>
      <c r="T10" s="41">
        <f t="shared" si="4"/>
        <v>2.0192163514703956</v>
      </c>
      <c r="U10" s="41">
        <f t="shared" si="4"/>
        <v>2.0970205561383173</v>
      </c>
      <c r="V10" s="41">
        <f t="shared" si="4"/>
        <v>1.9942777563666283</v>
      </c>
      <c r="W10" s="41">
        <f t="shared" si="4"/>
        <v>1.9373324919525237</v>
      </c>
      <c r="X10" s="122">
        <f t="shared" si="10"/>
        <v>2.0119617889819663</v>
      </c>
      <c r="Y10" s="123">
        <f t="shared" si="11"/>
        <v>2.0970205561383173</v>
      </c>
      <c r="Z10" s="123">
        <f t="shared" si="12"/>
        <v>1.9373324919525237</v>
      </c>
      <c r="AB10" s="119" t="s">
        <v>9</v>
      </c>
      <c r="AC10" s="41">
        <f t="shared" ref="AC10:AF10" si="29">B134/B151</f>
        <v>0.73377731668953516</v>
      </c>
      <c r="AD10" s="41">
        <f t="shared" si="29"/>
        <v>0.88259710976734651</v>
      </c>
      <c r="AE10" s="41">
        <f t="shared" si="29"/>
        <v>0.92121334138648414</v>
      </c>
      <c r="AF10" s="41">
        <f t="shared" si="29"/>
        <v>0.86132885405001869</v>
      </c>
      <c r="AG10" s="122">
        <f t="shared" si="14"/>
        <v>0.84972915547334615</v>
      </c>
      <c r="AH10" s="123">
        <f t="shared" si="15"/>
        <v>0.92121334138648414</v>
      </c>
      <c r="AI10" s="123">
        <f t="shared" si="16"/>
        <v>0.73377731668953516</v>
      </c>
      <c r="AK10" s="119" t="s">
        <v>9</v>
      </c>
      <c r="AL10" s="41">
        <f t="shared" si="17"/>
        <v>2.3112395711535476</v>
      </c>
      <c r="AM10" s="41">
        <f t="shared" si="18"/>
        <v>2.9209195610927869</v>
      </c>
      <c r="AN10" s="41">
        <f t="shared" si="19"/>
        <v>3.0482928229944508</v>
      </c>
      <c r="AO10" s="41">
        <f t="shared" si="20"/>
        <v>1.9731903124679047</v>
      </c>
      <c r="AP10" s="146">
        <f t="shared" si="21"/>
        <v>2.5634105669271725</v>
      </c>
      <c r="AQ10" s="123">
        <f t="shared" si="22"/>
        <v>3.0482928229944508</v>
      </c>
      <c r="AR10" s="123">
        <f t="shared" si="23"/>
        <v>1.9731903124679047</v>
      </c>
    </row>
    <row r="11" spans="1:44" x14ac:dyDescent="0.25">
      <c r="A11" s="119" t="s">
        <v>10</v>
      </c>
      <c r="B11" s="134">
        <f>'AJACCIO 2014'!BC12+'AJACCIO 2014'!BC29</f>
        <v>23783.52</v>
      </c>
      <c r="C11" s="134">
        <f>'AJACCIO 2015'!BC12+'AJACCIO 2015'!BC29</f>
        <v>24101.279999999999</v>
      </c>
      <c r="D11" s="134">
        <f>'AJACCIO 2016'!BC12+'AJACCIO 2016'!BC29</f>
        <v>23470.559999999998</v>
      </c>
      <c r="E11" s="134">
        <f>'AJACCIO 2017'!BC12+'AJACCIO 2017'!BC29</f>
        <v>23807.279999999999</v>
      </c>
      <c r="F11" s="127">
        <f t="shared" si="0"/>
        <v>23790.66</v>
      </c>
      <c r="G11" s="127">
        <f t="shared" si="1"/>
        <v>257.73112501209516</v>
      </c>
      <c r="H11" s="127">
        <f t="shared" si="2"/>
        <v>257.73112501209516</v>
      </c>
      <c r="J11" s="119" t="s">
        <v>10</v>
      </c>
      <c r="K11" s="41">
        <f t="shared" si="6"/>
        <v>0.79395312384373717</v>
      </c>
      <c r="L11" s="41">
        <f t="shared" si="3"/>
        <v>0.69490085173899485</v>
      </c>
      <c r="M11" s="41">
        <f t="shared" si="3"/>
        <v>0.54191293262708695</v>
      </c>
      <c r="N11" s="41">
        <f t="shared" si="3"/>
        <v>0.54953778844118273</v>
      </c>
      <c r="O11" s="122">
        <f t="shared" si="7"/>
        <v>0.64507617416275043</v>
      </c>
      <c r="P11" s="123">
        <f t="shared" si="8"/>
        <v>0.79395312384373717</v>
      </c>
      <c r="Q11" s="123">
        <f t="shared" si="9"/>
        <v>0.54191293262708695</v>
      </c>
      <c r="S11" s="119" t="s">
        <v>10</v>
      </c>
      <c r="T11" s="41">
        <f t="shared" si="4"/>
        <v>2.3019300759517516</v>
      </c>
      <c r="U11" s="41">
        <f t="shared" si="4"/>
        <v>2.4032748468131153</v>
      </c>
      <c r="V11" s="41">
        <f t="shared" si="4"/>
        <v>2.5353464084367823</v>
      </c>
      <c r="W11" s="41">
        <f t="shared" si="4"/>
        <v>2.7637764582934299</v>
      </c>
      <c r="X11" s="122">
        <f t="shared" si="10"/>
        <v>2.5010819473737698</v>
      </c>
      <c r="Y11" s="123">
        <f t="shared" si="11"/>
        <v>2.7637764582934299</v>
      </c>
      <c r="Z11" s="123">
        <f t="shared" si="12"/>
        <v>2.3019300759517516</v>
      </c>
      <c r="AB11" s="119" t="s">
        <v>10</v>
      </c>
      <c r="AC11" s="41">
        <f t="shared" ref="AC11:AF11" si="30">B135/B152</f>
        <v>0.52226485292407865</v>
      </c>
      <c r="AD11" s="41">
        <f t="shared" si="30"/>
        <v>0.66017384019269032</v>
      </c>
      <c r="AE11" s="41">
        <f t="shared" si="30"/>
        <v>0.6452623335943618</v>
      </c>
      <c r="AF11" s="41">
        <f t="shared" si="30"/>
        <v>0.58542538354253837</v>
      </c>
      <c r="AG11" s="122">
        <f t="shared" si="14"/>
        <v>0.60328160256341734</v>
      </c>
      <c r="AH11" s="123">
        <f t="shared" si="15"/>
        <v>0.66017384019269032</v>
      </c>
      <c r="AI11" s="123">
        <f t="shared" si="16"/>
        <v>0.52226485292407865</v>
      </c>
      <c r="AK11" s="119" t="s">
        <v>10</v>
      </c>
      <c r="AL11" s="41">
        <f t="shared" si="17"/>
        <v>2.6488852212254459</v>
      </c>
      <c r="AM11" s="41">
        <f t="shared" si="18"/>
        <v>2.8247556128844393</v>
      </c>
      <c r="AN11" s="41">
        <f t="shared" si="19"/>
        <v>2.8835324871234547</v>
      </c>
      <c r="AO11" s="41">
        <f t="shared" si="20"/>
        <v>1.9416243041011478</v>
      </c>
      <c r="AP11" s="146">
        <f t="shared" si="21"/>
        <v>2.5746994063336217</v>
      </c>
      <c r="AQ11" s="123">
        <f t="shared" si="22"/>
        <v>2.8835324871234547</v>
      </c>
      <c r="AR11" s="123">
        <f t="shared" si="23"/>
        <v>1.9416243041011478</v>
      </c>
    </row>
    <row r="12" spans="1:44" x14ac:dyDescent="0.25">
      <c r="A12" s="119" t="s">
        <v>11</v>
      </c>
      <c r="B12" s="134">
        <f>'AJACCIO 2014'!BC13+'AJACCIO 2014'!BC30</f>
        <v>25429.199999999997</v>
      </c>
      <c r="C12" s="134">
        <f>'AJACCIO 2015'!BC13+'AJACCIO 2015'!BC30</f>
        <v>26583.200000000001</v>
      </c>
      <c r="D12" s="134">
        <f>'AJACCIO 2016'!BC13+'AJACCIO 2016'!BC30</f>
        <v>27317.599999999999</v>
      </c>
      <c r="E12" s="134">
        <f>'AJACCIO 2017'!BC13+'AJACCIO 2017'!BC30</f>
        <v>33229.199999999997</v>
      </c>
      <c r="F12" s="127">
        <f t="shared" si="0"/>
        <v>28139.8</v>
      </c>
      <c r="G12" s="127">
        <f t="shared" si="1"/>
        <v>3480.8217956875205</v>
      </c>
      <c r="H12" s="127">
        <f t="shared" si="2"/>
        <v>3480.8217956875205</v>
      </c>
      <c r="J12" s="119" t="s">
        <v>11</v>
      </c>
      <c r="K12" s="41">
        <f t="shared" si="6"/>
        <v>0.82727730325767235</v>
      </c>
      <c r="L12" s="41">
        <f t="shared" si="3"/>
        <v>0.73422311836046827</v>
      </c>
      <c r="M12" s="41">
        <f t="shared" si="3"/>
        <v>0.53518610712507686</v>
      </c>
      <c r="N12" s="41">
        <f t="shared" si="3"/>
        <v>0.46883463941352788</v>
      </c>
      <c r="O12" s="122">
        <f t="shared" si="7"/>
        <v>0.64138029203918623</v>
      </c>
      <c r="P12" s="123">
        <f t="shared" si="8"/>
        <v>0.82727730325767235</v>
      </c>
      <c r="Q12" s="123">
        <f t="shared" si="9"/>
        <v>0.46883463941352788</v>
      </c>
      <c r="S12" s="119" t="s">
        <v>11</v>
      </c>
      <c r="T12" s="41">
        <f t="shared" si="4"/>
        <v>2.3686942569958949</v>
      </c>
      <c r="U12" s="41">
        <f t="shared" si="4"/>
        <v>2.2320488127840141</v>
      </c>
      <c r="V12" s="41">
        <f t="shared" si="4"/>
        <v>2.1062611649632474</v>
      </c>
      <c r="W12" s="41">
        <f t="shared" si="4"/>
        <v>2.1342072634911466</v>
      </c>
      <c r="X12" s="122">
        <f t="shared" si="10"/>
        <v>2.2103028745585758</v>
      </c>
      <c r="Y12" s="123">
        <f t="shared" si="11"/>
        <v>2.3686942569958949</v>
      </c>
      <c r="Z12" s="123">
        <f t="shared" si="12"/>
        <v>2.1062611649632474</v>
      </c>
      <c r="AB12" s="119" t="s">
        <v>11</v>
      </c>
      <c r="AC12" s="41">
        <f t="shared" ref="AC12:AF12" si="31">B136/B153</f>
        <v>0.41036269430051814</v>
      </c>
      <c r="AD12" s="41">
        <f t="shared" si="31"/>
        <v>0.34810126582278483</v>
      </c>
      <c r="AE12" s="41">
        <f t="shared" si="31"/>
        <v>0.33106382978723403</v>
      </c>
      <c r="AF12" s="41">
        <f t="shared" si="31"/>
        <v>0</v>
      </c>
      <c r="AG12" s="122">
        <f t="shared" si="14"/>
        <v>0.27238194747763422</v>
      </c>
      <c r="AH12" s="123">
        <f t="shared" si="15"/>
        <v>0.41036269430051814</v>
      </c>
      <c r="AI12" s="123">
        <f t="shared" si="16"/>
        <v>0</v>
      </c>
      <c r="AK12" s="119" t="s">
        <v>11</v>
      </c>
      <c r="AL12" s="41">
        <f t="shared" si="17"/>
        <v>2.3547355265108991</v>
      </c>
      <c r="AM12" s="41">
        <f t="shared" si="18"/>
        <v>2.6365675609091968</v>
      </c>
      <c r="AN12" s="41">
        <f t="shared" si="19"/>
        <v>1.7743181642586727</v>
      </c>
      <c r="AO12" s="41">
        <f t="shared" si="20"/>
        <v>0.53383007327079446</v>
      </c>
      <c r="AP12" s="146">
        <f t="shared" si="21"/>
        <v>1.8248628312373909</v>
      </c>
      <c r="AQ12" s="123">
        <f t="shared" si="22"/>
        <v>2.6365675609091968</v>
      </c>
      <c r="AR12" s="123">
        <f t="shared" si="23"/>
        <v>0.53383007327079446</v>
      </c>
    </row>
    <row r="13" spans="1:44" x14ac:dyDescent="0.25">
      <c r="A13" s="119" t="s">
        <v>12</v>
      </c>
      <c r="B13" s="134">
        <f>'AJACCIO 2014'!BC14+'AJACCIO 2014'!BC31</f>
        <v>19898.8</v>
      </c>
      <c r="C13" s="134">
        <f>'AJACCIO 2015'!BC14+'AJACCIO 2015'!BC31</f>
        <v>19383.599999999999</v>
      </c>
      <c r="D13" s="134">
        <f>'AJACCIO 2016'!BC14+'AJACCIO 2016'!BC31</f>
        <v>22023.200000000001</v>
      </c>
      <c r="E13" s="134"/>
      <c r="F13" s="127">
        <f t="shared" si="0"/>
        <v>20435.199999999997</v>
      </c>
      <c r="G13" s="127">
        <f t="shared" si="1"/>
        <v>1399.166094500579</v>
      </c>
      <c r="H13" s="127">
        <f t="shared" si="2"/>
        <v>1399.166094500579</v>
      </c>
      <c r="J13" s="119" t="s">
        <v>12</v>
      </c>
      <c r="K13" s="41">
        <f t="shared" si="6"/>
        <v>0.86799203972098826</v>
      </c>
      <c r="L13" s="41">
        <f t="shared" si="6"/>
        <v>0.9130914793949525</v>
      </c>
      <c r="M13" s="41">
        <f t="shared" si="6"/>
        <v>0.58728976715463688</v>
      </c>
      <c r="N13" s="41"/>
      <c r="O13" s="122">
        <f t="shared" si="7"/>
        <v>0.78945776209019247</v>
      </c>
      <c r="P13" s="123">
        <f t="shared" si="8"/>
        <v>0.9130914793949525</v>
      </c>
      <c r="Q13" s="123">
        <f t="shared" si="9"/>
        <v>0.58728976715463688</v>
      </c>
      <c r="S13" s="119" t="s">
        <v>12</v>
      </c>
      <c r="T13" s="41">
        <f t="shared" si="4"/>
        <v>2.5052767001025189</v>
      </c>
      <c r="U13" s="41">
        <f t="shared" si="4"/>
        <v>2.568924245238243</v>
      </c>
      <c r="V13" s="41">
        <f t="shared" si="4"/>
        <v>2.5762377856079044</v>
      </c>
      <c r="W13" s="41"/>
      <c r="X13" s="122">
        <f t="shared" si="10"/>
        <v>2.5501462436495554</v>
      </c>
      <c r="Y13" s="123">
        <f t="shared" si="11"/>
        <v>2.5762377856079044</v>
      </c>
      <c r="Z13" s="123">
        <f t="shared" si="12"/>
        <v>2.5052767001025189</v>
      </c>
      <c r="AB13" s="119" t="s">
        <v>12</v>
      </c>
      <c r="AC13" s="41">
        <f t="shared" ref="AC13:AF13" si="32">B137/B154</f>
        <v>0.34282807731434384</v>
      </c>
      <c r="AD13" s="41">
        <f t="shared" si="32"/>
        <v>0.20944772490448071</v>
      </c>
      <c r="AE13" s="41">
        <f t="shared" si="32"/>
        <v>0.11225540679711637</v>
      </c>
      <c r="AF13" s="41" t="e">
        <f t="shared" si="32"/>
        <v>#DIV/0!</v>
      </c>
      <c r="AG13" s="122" t="e">
        <f t="shared" si="14"/>
        <v>#DIV/0!</v>
      </c>
      <c r="AH13" s="123" t="e">
        <f t="shared" si="15"/>
        <v>#DIV/0!</v>
      </c>
      <c r="AI13" s="123" t="e">
        <f t="shared" si="16"/>
        <v>#DIV/0!</v>
      </c>
      <c r="AK13" s="119" t="s">
        <v>12</v>
      </c>
      <c r="AL13" s="41">
        <f t="shared" si="17"/>
        <v>1.4679750347954728</v>
      </c>
      <c r="AM13" s="41">
        <f t="shared" si="18"/>
        <v>1.1111111111111112</v>
      </c>
      <c r="AN13" s="41">
        <f t="shared" si="19"/>
        <v>1.0279823939770236</v>
      </c>
      <c r="AO13" s="41"/>
      <c r="AP13" s="146">
        <f t="shared" si="21"/>
        <v>1.2023561799612026</v>
      </c>
      <c r="AQ13" s="123">
        <f t="shared" si="22"/>
        <v>1.4679750347954728</v>
      </c>
      <c r="AR13" s="123">
        <f t="shared" si="23"/>
        <v>1.0279823939770236</v>
      </c>
    </row>
    <row r="14" spans="1:44" ht="15.75" thickBot="1" x14ac:dyDescent="0.3">
      <c r="A14" s="119" t="s">
        <v>13</v>
      </c>
      <c r="B14" s="134">
        <f>'AJACCIO 2014'!BC15+'AJACCIO 2014'!BC32</f>
        <v>22058.800000000003</v>
      </c>
      <c r="C14" s="134">
        <f>'AJACCIO 2015'!BC15+'AJACCIO 2015'!BC32</f>
        <v>23727.600000000002</v>
      </c>
      <c r="D14" s="134">
        <f>'AJACCIO 2016'!BC15+'AJACCIO 2016'!BC32</f>
        <v>27845.200000000001</v>
      </c>
      <c r="E14" s="134"/>
      <c r="F14" s="127">
        <f t="shared" si="0"/>
        <v>24543.866666666669</v>
      </c>
      <c r="G14" s="127">
        <f t="shared" si="1"/>
        <v>2978.3090325440253</v>
      </c>
      <c r="H14" s="127">
        <f t="shared" si="2"/>
        <v>2978.3090325440253</v>
      </c>
      <c r="J14" s="139" t="s">
        <v>13</v>
      </c>
      <c r="K14" s="66">
        <f t="shared" si="6"/>
        <v>0.73036611239051974</v>
      </c>
      <c r="L14" s="66">
        <f t="shared" si="6"/>
        <v>0.81074360660159472</v>
      </c>
      <c r="M14" s="66">
        <f t="shared" si="6"/>
        <v>0.43540717969344805</v>
      </c>
      <c r="N14" s="66"/>
      <c r="O14" s="122">
        <f t="shared" si="7"/>
        <v>0.65883896622852078</v>
      </c>
      <c r="P14" s="123">
        <f t="shared" si="8"/>
        <v>0.81074360660159472</v>
      </c>
      <c r="Q14" s="123">
        <f t="shared" si="9"/>
        <v>0.43540717969344805</v>
      </c>
      <c r="S14" s="139" t="s">
        <v>13</v>
      </c>
      <c r="T14" s="66">
        <f t="shared" si="4"/>
        <v>2.1932290061109394</v>
      </c>
      <c r="U14" s="66">
        <f t="shared" si="4"/>
        <v>2.1088942834504962</v>
      </c>
      <c r="V14" s="66">
        <f t="shared" si="4"/>
        <v>1.9296683090802005</v>
      </c>
      <c r="W14" s="66"/>
      <c r="X14" s="122">
        <f t="shared" si="10"/>
        <v>2.0772638662138792</v>
      </c>
      <c r="Y14" s="123">
        <f t="shared" si="11"/>
        <v>2.1932290061109394</v>
      </c>
      <c r="Z14" s="123">
        <f t="shared" si="12"/>
        <v>1.9296683090802005</v>
      </c>
      <c r="AB14" s="139" t="s">
        <v>13</v>
      </c>
      <c r="AC14" s="66">
        <f t="shared" ref="AC14:AF14" si="33">B138/B155</f>
        <v>0.45333333333333331</v>
      </c>
      <c r="AD14" s="66">
        <f t="shared" si="33"/>
        <v>0.13547237076648841</v>
      </c>
      <c r="AE14" s="66">
        <f t="shared" si="33"/>
        <v>0.15697329376854599</v>
      </c>
      <c r="AF14" s="66" t="e">
        <f t="shared" si="33"/>
        <v>#DIV/0!</v>
      </c>
      <c r="AG14" s="122" t="e">
        <f t="shared" si="14"/>
        <v>#DIV/0!</v>
      </c>
      <c r="AH14" s="123" t="e">
        <f t="shared" si="15"/>
        <v>#DIV/0!</v>
      </c>
      <c r="AI14" s="123" t="e">
        <f t="shared" si="16"/>
        <v>#DIV/0!</v>
      </c>
      <c r="AK14" s="139" t="s">
        <v>13</v>
      </c>
      <c r="AL14" s="66">
        <f t="shared" si="17"/>
        <v>1.5667814739906403</v>
      </c>
      <c r="AM14" s="66">
        <f t="shared" si="18"/>
        <v>1.0037750459781238</v>
      </c>
      <c r="AN14" s="66">
        <f t="shared" si="19"/>
        <v>0.98721650788297788</v>
      </c>
      <c r="AO14" s="66"/>
      <c r="AP14" s="146">
        <f t="shared" si="21"/>
        <v>1.1859243426172472</v>
      </c>
      <c r="AQ14" s="123">
        <f t="shared" si="22"/>
        <v>1.5667814739906403</v>
      </c>
      <c r="AR14" s="123">
        <f t="shared" si="23"/>
        <v>0.98721650788297788</v>
      </c>
    </row>
    <row r="15" spans="1:44" ht="16.5" thickTop="1" thickBot="1" x14ac:dyDescent="0.3">
      <c r="A15" s="128" t="s">
        <v>0</v>
      </c>
      <c r="B15" s="129">
        <f t="shared" ref="B15:D15" si="34">SUM(B3:B14)</f>
        <v>297484.71999999991</v>
      </c>
      <c r="C15" s="129">
        <f t="shared" si="34"/>
        <v>299547.75999999995</v>
      </c>
      <c r="D15" s="129">
        <f t="shared" si="34"/>
        <v>310853.2</v>
      </c>
      <c r="E15" s="129">
        <f>SUM(E3:E14)</f>
        <v>266863.76</v>
      </c>
      <c r="F15" s="111"/>
      <c r="G15" s="112"/>
      <c r="H15" s="112"/>
      <c r="J15" s="138" t="s">
        <v>1</v>
      </c>
      <c r="K15" s="61">
        <f>AVERAGE(K3:K14)</f>
        <v>0.79112430106749254</v>
      </c>
      <c r="L15" s="61">
        <f t="shared" ref="L15:M15" si="35">AVERAGE(L3:L14)</f>
        <v>0.71709336397572976</v>
      </c>
      <c r="M15" s="61">
        <f t="shared" si="35"/>
        <v>0.58424069839856918</v>
      </c>
      <c r="N15" s="61">
        <f>AVERAGE(N3:N14)</f>
        <v>0.55707796751534311</v>
      </c>
      <c r="S15" s="138" t="s">
        <v>1</v>
      </c>
      <c r="T15" s="61">
        <f>AVERAGE(T3:T14)</f>
        <v>2.2734431932429735</v>
      </c>
      <c r="U15" s="61">
        <f t="shared" ref="U15:V15" si="36">AVERAGE(U3:U14)</f>
        <v>2.3201189662505306</v>
      </c>
      <c r="V15" s="61">
        <f t="shared" si="36"/>
        <v>2.3529592322662189</v>
      </c>
      <c r="W15" s="61">
        <f>AVERAGE(W3:W14)</f>
        <v>2.6391357448470396</v>
      </c>
      <c r="AB15" s="138" t="s">
        <v>1</v>
      </c>
      <c r="AC15" s="61">
        <f>AVERAGE(AC3:AC14)</f>
        <v>0.40400274975386963</v>
      </c>
      <c r="AD15" s="61">
        <f t="shared" ref="AD15:AE15" si="37">AVERAGE(AD3:AD14)</f>
        <v>0.48618012013935646</v>
      </c>
      <c r="AE15" s="61">
        <f t="shared" si="37"/>
        <v>0.38830119079087155</v>
      </c>
      <c r="AF15" s="61" t="e">
        <f>AVERAGE(AF3:AF14)</f>
        <v>#DIV/0!</v>
      </c>
      <c r="AK15" s="138" t="s">
        <v>1</v>
      </c>
      <c r="AL15" s="145">
        <f>AVERAGE(AL3:AL14)</f>
        <v>1.7395931684645405</v>
      </c>
      <c r="AM15" s="145">
        <f t="shared" ref="AM15:AN15" si="38">AVERAGE(AM3:AM14)</f>
        <v>1.8829592269225579</v>
      </c>
      <c r="AN15" s="145">
        <f t="shared" si="38"/>
        <v>1.732849006034314</v>
      </c>
      <c r="AO15" s="145">
        <f>AVERAGE(AO3:AO14)</f>
        <v>1.8851390364145704</v>
      </c>
      <c r="AP15" s="148"/>
    </row>
    <row r="16" spans="1:44" ht="15.75" thickTop="1" x14ac:dyDescent="0.25">
      <c r="A16" s="136" t="s">
        <v>72</v>
      </c>
      <c r="B16" s="136"/>
      <c r="C16" s="136"/>
      <c r="D16" s="136"/>
      <c r="E16" s="136"/>
      <c r="F16" s="127"/>
      <c r="AL16" s="148"/>
      <c r="AM16" s="148"/>
      <c r="AN16" s="148"/>
      <c r="AO16" s="148"/>
      <c r="AP16" s="148"/>
    </row>
    <row r="17" spans="1:35" x14ac:dyDescent="0.25">
      <c r="A17" s="130" t="s">
        <v>15</v>
      </c>
      <c r="B17" s="127">
        <f t="shared" ref="B17:E17" si="39">AVERAGE(B3:B5,B12:B14)</f>
        <v>22467.8</v>
      </c>
      <c r="C17" s="127">
        <f t="shared" si="39"/>
        <v>22820.600000000002</v>
      </c>
      <c r="D17" s="127">
        <f t="shared" si="39"/>
        <v>25338</v>
      </c>
      <c r="E17" s="127">
        <f t="shared" si="39"/>
        <v>24947</v>
      </c>
      <c r="F17" s="127">
        <f>AVERAGE(B17:D17)</f>
        <v>23542.133333333331</v>
      </c>
      <c r="G17" s="122"/>
      <c r="H17" s="131"/>
    </row>
    <row r="18" spans="1:35" x14ac:dyDescent="0.25">
      <c r="A18" s="130" t="s">
        <v>16</v>
      </c>
      <c r="B18" s="127">
        <f t="shared" ref="B18:E18" si="40">AVERAGE(B6:B11)</f>
        <v>27112.986666666664</v>
      </c>
      <c r="C18" s="127">
        <f t="shared" si="40"/>
        <v>27104.026666666668</v>
      </c>
      <c r="D18" s="127">
        <f t="shared" si="40"/>
        <v>26470.866666666665</v>
      </c>
      <c r="E18" s="127">
        <f t="shared" si="40"/>
        <v>27845.959999999995</v>
      </c>
      <c r="F18" s="127">
        <f>AVERAGE(B18:D18)</f>
        <v>26895.960000000003</v>
      </c>
      <c r="G18" s="122"/>
    </row>
    <row r="19" spans="1:35" ht="15.75" thickBot="1" x14ac:dyDescent="0.3"/>
    <row r="20" spans="1:35" ht="17.25" thickTop="1" thickBot="1" x14ac:dyDescent="0.3">
      <c r="A20" s="140" t="s">
        <v>84</v>
      </c>
      <c r="B20" s="141"/>
      <c r="C20" s="141"/>
      <c r="D20" s="141"/>
      <c r="E20" s="141"/>
      <c r="F20" s="142"/>
      <c r="J20" s="140" t="s">
        <v>116</v>
      </c>
      <c r="K20" s="141"/>
      <c r="L20" s="141"/>
      <c r="M20" s="141"/>
      <c r="N20" s="141"/>
      <c r="O20" s="142"/>
      <c r="S20" s="140" t="s">
        <v>185</v>
      </c>
      <c r="T20" s="141"/>
      <c r="U20" s="141"/>
      <c r="V20" s="141"/>
      <c r="W20" s="141"/>
      <c r="X20" s="142"/>
      <c r="AB20" s="149" t="s">
        <v>170</v>
      </c>
      <c r="AC20" s="164"/>
      <c r="AD20" s="164"/>
      <c r="AE20" s="164"/>
      <c r="AF20" s="164"/>
      <c r="AG20" s="150"/>
      <c r="AH20" s="148"/>
      <c r="AI20" s="148"/>
    </row>
    <row r="21" spans="1:35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117" t="s">
        <v>18</v>
      </c>
      <c r="Q21" s="117" t="s">
        <v>17</v>
      </c>
      <c r="S21" s="124"/>
      <c r="T21" s="125">
        <v>2014</v>
      </c>
      <c r="U21" s="125">
        <v>2015</v>
      </c>
      <c r="V21" s="125">
        <v>2016</v>
      </c>
      <c r="W21" s="125">
        <v>2017</v>
      </c>
      <c r="X21" s="126" t="s">
        <v>1</v>
      </c>
      <c r="Y21" s="117" t="s">
        <v>18</v>
      </c>
      <c r="Z21" s="117" t="s">
        <v>17</v>
      </c>
      <c r="AB21" s="151"/>
      <c r="AC21" s="147">
        <v>2014</v>
      </c>
      <c r="AD21" s="147">
        <v>2015</v>
      </c>
      <c r="AE21" s="147">
        <v>2016</v>
      </c>
      <c r="AF21" s="147">
        <v>2017</v>
      </c>
      <c r="AG21" s="152" t="s">
        <v>1</v>
      </c>
      <c r="AH21" s="165" t="s">
        <v>18</v>
      </c>
      <c r="AI21" s="165" t="s">
        <v>17</v>
      </c>
    </row>
    <row r="22" spans="1:35" x14ac:dyDescent="0.25">
      <c r="A22" s="119" t="s">
        <v>2</v>
      </c>
      <c r="B22" s="134">
        <v>24950</v>
      </c>
      <c r="C22" s="134">
        <v>16865</v>
      </c>
      <c r="D22" s="134">
        <v>18675</v>
      </c>
      <c r="E22" s="134">
        <v>12059</v>
      </c>
      <c r="F22" s="127">
        <f t="shared" ref="F22:F33" si="41">AVERAGE(B22:E22)</f>
        <v>18137.25</v>
      </c>
      <c r="G22" s="127">
        <f t="shared" ref="G22:G33" si="42">STDEVA(B22:E22)</f>
        <v>5331.2437807701126</v>
      </c>
      <c r="H22" s="127">
        <f t="shared" ref="H22:H33" si="43">STDEVA(B22:E22)</f>
        <v>5331.2437807701126</v>
      </c>
      <c r="I22" s="122"/>
      <c r="J22" s="119" t="s">
        <v>2</v>
      </c>
      <c r="K22" s="134">
        <f>B22+B74</f>
        <v>47618</v>
      </c>
      <c r="L22" s="134">
        <f t="shared" ref="L22:N33" si="44">C22+C74</f>
        <v>34721</v>
      </c>
      <c r="M22" s="134">
        <f t="shared" si="44"/>
        <v>39015</v>
      </c>
      <c r="N22" s="134">
        <f t="shared" si="44"/>
        <v>26924</v>
      </c>
      <c r="O22" s="127">
        <f t="shared" ref="O22:O33" si="45">AVERAGE(K22:N22)</f>
        <v>37069.5</v>
      </c>
      <c r="P22" s="127">
        <f t="shared" ref="P22:P33" si="46">STDEVA(K22:N22)</f>
        <v>8631.3854623692951</v>
      </c>
      <c r="Q22" s="127">
        <f t="shared" ref="Q22:Q33" si="47">STDEVA(K22:N22)</f>
        <v>8631.3854623692951</v>
      </c>
      <c r="S22" s="119" t="s">
        <v>2</v>
      </c>
      <c r="T22" s="134">
        <f>K22+B91+B41+B127</f>
        <v>81701</v>
      </c>
      <c r="U22" s="134">
        <f t="shared" ref="U22:W22" si="48">L22+C91+C41+C127</f>
        <v>81445</v>
      </c>
      <c r="V22" s="134">
        <f t="shared" si="48"/>
        <v>82053</v>
      </c>
      <c r="W22" s="134">
        <f t="shared" si="48"/>
        <v>84901</v>
      </c>
      <c r="X22" s="127">
        <f t="shared" ref="X22:X33" si="49">AVERAGE(T22:W22)</f>
        <v>82525</v>
      </c>
      <c r="Y22" s="127">
        <f t="shared" ref="Y22:Y33" si="50">STDEVA(T22:W22)</f>
        <v>1603.4895280813862</v>
      </c>
      <c r="Z22" s="127">
        <f t="shared" ref="Z22:Z33" si="51">STDEVA(T22:W22)</f>
        <v>1603.4895280813862</v>
      </c>
      <c r="AB22" s="153" t="s">
        <v>2</v>
      </c>
      <c r="AC22" s="77">
        <f>(B3+B108+B144)-T22</f>
        <v>-10506</v>
      </c>
      <c r="AD22" s="77">
        <f t="shared" ref="AD22:AF22" si="52">(C3+C108+C144)-U22</f>
        <v>-28585.200000000004</v>
      </c>
      <c r="AE22" s="77">
        <f t="shared" si="52"/>
        <v>-15967.720000000001</v>
      </c>
      <c r="AF22" s="77">
        <f t="shared" si="52"/>
        <v>-23767.320000000007</v>
      </c>
      <c r="AG22" s="166">
        <f t="shared" ref="AG22:AG33" si="53">AVERAGE(AC22:AF22)</f>
        <v>-19706.560000000005</v>
      </c>
      <c r="AH22" s="167">
        <f t="shared" ref="AH22:AH33" si="54">MAX(AC22:AF22)</f>
        <v>-10506</v>
      </c>
      <c r="AI22" s="167">
        <f t="shared" ref="AI22:AI33" si="55">MIN(AC22:AF22)</f>
        <v>-28585.200000000004</v>
      </c>
    </row>
    <row r="23" spans="1:35" x14ac:dyDescent="0.25">
      <c r="A23" s="119" t="s">
        <v>3</v>
      </c>
      <c r="B23" s="134">
        <v>18406</v>
      </c>
      <c r="C23" s="134">
        <v>16836</v>
      </c>
      <c r="D23" s="134">
        <v>14781</v>
      </c>
      <c r="E23" s="134">
        <v>12542</v>
      </c>
      <c r="F23" s="127">
        <f t="shared" si="41"/>
        <v>15641.25</v>
      </c>
      <c r="G23" s="127">
        <f t="shared" si="42"/>
        <v>2544.0552110099079</v>
      </c>
      <c r="H23" s="127">
        <f t="shared" si="43"/>
        <v>2544.0552110099079</v>
      </c>
      <c r="I23" s="122"/>
      <c r="J23" s="119" t="s">
        <v>3</v>
      </c>
      <c r="K23" s="134">
        <f t="shared" ref="K23:K33" si="56">B23+B75</f>
        <v>28837</v>
      </c>
      <c r="L23" s="134">
        <f t="shared" si="44"/>
        <v>33219</v>
      </c>
      <c r="M23" s="134">
        <f t="shared" si="44"/>
        <v>32187</v>
      </c>
      <c r="N23" s="134">
        <f t="shared" si="44"/>
        <v>30944</v>
      </c>
      <c r="O23" s="127">
        <f t="shared" si="45"/>
        <v>31296.75</v>
      </c>
      <c r="P23" s="127">
        <f t="shared" si="46"/>
        <v>1885.2402808837569</v>
      </c>
      <c r="Q23" s="127">
        <f t="shared" si="47"/>
        <v>1885.2402808837569</v>
      </c>
      <c r="S23" s="119" t="s">
        <v>3</v>
      </c>
      <c r="T23" s="134">
        <f t="shared" ref="T23:T32" si="57">K23+B92+B42+B128</f>
        <v>75788</v>
      </c>
      <c r="U23" s="134">
        <f t="shared" ref="U23:U33" si="58">L23+C92+C42+C128</f>
        <v>75781</v>
      </c>
      <c r="V23" s="134">
        <f t="shared" ref="V23:V33" si="59">M23+D92+D42+D128</f>
        <v>82473</v>
      </c>
      <c r="W23" s="134">
        <f t="shared" ref="W23:W33" si="60">N23+E92+E42+E128</f>
        <v>88442</v>
      </c>
      <c r="X23" s="127">
        <f t="shared" si="49"/>
        <v>80621</v>
      </c>
      <c r="Y23" s="127">
        <f t="shared" si="50"/>
        <v>6093.2047944137466</v>
      </c>
      <c r="Z23" s="127">
        <f t="shared" si="51"/>
        <v>6093.2047944137466</v>
      </c>
      <c r="AB23" s="153" t="s">
        <v>3</v>
      </c>
      <c r="AC23" s="77">
        <f t="shared" ref="AC23:AC33" si="61">(B4+B109+B145)-T23</f>
        <v>-17546.12000000001</v>
      </c>
      <c r="AD23" s="77">
        <f t="shared" ref="AD23:AD33" si="62">(C4+C109+C145)-U23</f>
        <v>-29217.239999999998</v>
      </c>
      <c r="AE23" s="77">
        <f t="shared" ref="AE23:AE33" si="63">(D4+D109+D145)-V23</f>
        <v>-27781.440000000002</v>
      </c>
      <c r="AF23" s="77">
        <f t="shared" ref="AF23:AF32" si="64">(E4+E109+E145)-W23</f>
        <v>-37209.520000000004</v>
      </c>
      <c r="AG23" s="166">
        <f t="shared" si="53"/>
        <v>-27938.580000000005</v>
      </c>
      <c r="AH23" s="167">
        <f t="shared" si="54"/>
        <v>-17546.12000000001</v>
      </c>
      <c r="AI23" s="167">
        <f t="shared" si="55"/>
        <v>-37209.520000000004</v>
      </c>
    </row>
    <row r="24" spans="1:35" x14ac:dyDescent="0.25">
      <c r="A24" s="119" t="s">
        <v>4</v>
      </c>
      <c r="B24" s="134">
        <v>19826</v>
      </c>
      <c r="C24" s="134">
        <v>18615</v>
      </c>
      <c r="D24" s="134">
        <v>17884</v>
      </c>
      <c r="E24" s="134">
        <v>16920</v>
      </c>
      <c r="F24" s="127">
        <f t="shared" si="41"/>
        <v>18311.25</v>
      </c>
      <c r="G24" s="127">
        <f t="shared" si="42"/>
        <v>1225.404797063675</v>
      </c>
      <c r="H24" s="127">
        <f t="shared" si="43"/>
        <v>1225.404797063675</v>
      </c>
      <c r="I24" s="122"/>
      <c r="J24" s="119" t="s">
        <v>4</v>
      </c>
      <c r="K24" s="134">
        <f t="shared" si="56"/>
        <v>34118</v>
      </c>
      <c r="L24" s="134">
        <f t="shared" si="44"/>
        <v>37875</v>
      </c>
      <c r="M24" s="134">
        <f t="shared" si="44"/>
        <v>38506</v>
      </c>
      <c r="N24" s="134">
        <f t="shared" si="44"/>
        <v>73602</v>
      </c>
      <c r="O24" s="127">
        <f t="shared" si="45"/>
        <v>46025.25</v>
      </c>
      <c r="P24" s="127">
        <f t="shared" si="46"/>
        <v>18486.260111679341</v>
      </c>
      <c r="Q24" s="127">
        <f t="shared" si="47"/>
        <v>18486.260111679341</v>
      </c>
      <c r="S24" s="119" t="s">
        <v>4</v>
      </c>
      <c r="T24" s="134">
        <f t="shared" si="57"/>
        <v>90252</v>
      </c>
      <c r="U24" s="134">
        <f t="shared" si="58"/>
        <v>90634</v>
      </c>
      <c r="V24" s="134">
        <f t="shared" si="59"/>
        <v>95542</v>
      </c>
      <c r="W24" s="134">
        <f t="shared" si="60"/>
        <v>143610</v>
      </c>
      <c r="X24" s="127">
        <f t="shared" si="49"/>
        <v>105009.5</v>
      </c>
      <c r="Y24" s="127">
        <f t="shared" si="50"/>
        <v>25846.153569406288</v>
      </c>
      <c r="Z24" s="127">
        <f t="shared" si="51"/>
        <v>25846.153569406288</v>
      </c>
      <c r="AB24" s="153" t="s">
        <v>4</v>
      </c>
      <c r="AC24" s="77">
        <f t="shared" si="61"/>
        <v>-24831.839999999997</v>
      </c>
      <c r="AD24" s="77">
        <f t="shared" si="62"/>
        <v>-43363.840000000004</v>
      </c>
      <c r="AE24" s="77">
        <f t="shared" si="63"/>
        <v>-33935.520000000004</v>
      </c>
      <c r="AF24" s="77">
        <f t="shared" si="64"/>
        <v>-87131.839999999997</v>
      </c>
      <c r="AG24" s="166">
        <f t="shared" si="53"/>
        <v>-47315.759999999995</v>
      </c>
      <c r="AH24" s="167">
        <f t="shared" si="54"/>
        <v>-24831.839999999997</v>
      </c>
      <c r="AI24" s="167">
        <f t="shared" si="55"/>
        <v>-87131.839999999997</v>
      </c>
    </row>
    <row r="25" spans="1:35" x14ac:dyDescent="0.25">
      <c r="A25" s="119" t="s">
        <v>5</v>
      </c>
      <c r="B25" s="134">
        <v>21989</v>
      </c>
      <c r="C25" s="134">
        <v>20797</v>
      </c>
      <c r="D25" s="134">
        <v>17702</v>
      </c>
      <c r="E25" s="134">
        <v>16209</v>
      </c>
      <c r="F25" s="127">
        <f t="shared" si="41"/>
        <v>19174.25</v>
      </c>
      <c r="G25" s="127">
        <f t="shared" si="42"/>
        <v>2678.0815739380805</v>
      </c>
      <c r="H25" s="127">
        <f t="shared" si="43"/>
        <v>2678.0815739380805</v>
      </c>
      <c r="I25" s="122"/>
      <c r="J25" s="119" t="s">
        <v>5</v>
      </c>
      <c r="K25" s="134">
        <f t="shared" si="56"/>
        <v>57200</v>
      </c>
      <c r="L25" s="134">
        <f t="shared" si="44"/>
        <v>63226</v>
      </c>
      <c r="M25" s="134">
        <f t="shared" si="44"/>
        <v>68111</v>
      </c>
      <c r="N25" s="134">
        <f t="shared" si="44"/>
        <v>83526</v>
      </c>
      <c r="O25" s="127">
        <f t="shared" si="45"/>
        <v>68015.75</v>
      </c>
      <c r="P25" s="127">
        <f t="shared" si="46"/>
        <v>11262.017000371943</v>
      </c>
      <c r="Q25" s="127">
        <f t="shared" si="47"/>
        <v>11262.017000371943</v>
      </c>
      <c r="S25" s="119" t="s">
        <v>5</v>
      </c>
      <c r="T25" s="134">
        <f t="shared" si="57"/>
        <v>119577</v>
      </c>
      <c r="U25" s="134">
        <f t="shared" si="58"/>
        <v>119635</v>
      </c>
      <c r="V25" s="134">
        <f t="shared" si="59"/>
        <v>135547</v>
      </c>
      <c r="W25" s="134">
        <f t="shared" si="60"/>
        <v>157460</v>
      </c>
      <c r="X25" s="127">
        <f t="shared" si="49"/>
        <v>133054.75</v>
      </c>
      <c r="Y25" s="127">
        <f t="shared" si="50"/>
        <v>17921.746313254931</v>
      </c>
      <c r="Z25" s="127">
        <f t="shared" si="51"/>
        <v>17921.746313254931</v>
      </c>
      <c r="AB25" s="153" t="s">
        <v>5</v>
      </c>
      <c r="AC25" s="77">
        <f t="shared" si="61"/>
        <v>3578.0799999999872</v>
      </c>
      <c r="AD25" s="77">
        <f t="shared" si="62"/>
        <v>-1057.2399999999907</v>
      </c>
      <c r="AE25" s="77">
        <f t="shared" si="63"/>
        <v>10869.479999999981</v>
      </c>
      <c r="AF25" s="77">
        <f t="shared" si="64"/>
        <v>-22995.160000000033</v>
      </c>
      <c r="AG25" s="166">
        <f t="shared" si="53"/>
        <v>-2401.2100000000137</v>
      </c>
      <c r="AH25" s="167">
        <f t="shared" si="54"/>
        <v>10869.479999999981</v>
      </c>
      <c r="AI25" s="167">
        <f t="shared" si="55"/>
        <v>-22995.160000000033</v>
      </c>
    </row>
    <row r="26" spans="1:35" x14ac:dyDescent="0.25">
      <c r="A26" s="119" t="s">
        <v>6</v>
      </c>
      <c r="B26" s="134">
        <v>18488</v>
      </c>
      <c r="C26" s="134">
        <v>17213</v>
      </c>
      <c r="D26" s="134">
        <v>16714</v>
      </c>
      <c r="E26" s="134">
        <v>14946</v>
      </c>
      <c r="F26" s="127">
        <f t="shared" si="41"/>
        <v>16840.25</v>
      </c>
      <c r="G26" s="127">
        <f t="shared" si="42"/>
        <v>1467.2133166880221</v>
      </c>
      <c r="H26" s="127">
        <f t="shared" si="43"/>
        <v>1467.2133166880221</v>
      </c>
      <c r="I26" s="122"/>
      <c r="J26" s="119" t="s">
        <v>6</v>
      </c>
      <c r="K26" s="134">
        <f t="shared" si="56"/>
        <v>102167</v>
      </c>
      <c r="L26" s="134">
        <f t="shared" si="44"/>
        <v>100598</v>
      </c>
      <c r="M26" s="134">
        <f t="shared" si="44"/>
        <v>85678</v>
      </c>
      <c r="N26" s="134">
        <f t="shared" si="44"/>
        <v>101373</v>
      </c>
      <c r="O26" s="127">
        <f t="shared" si="45"/>
        <v>97454</v>
      </c>
      <c r="P26" s="127">
        <f t="shared" si="46"/>
        <v>7876.7557196263651</v>
      </c>
      <c r="Q26" s="127">
        <f t="shared" si="47"/>
        <v>7876.7557196263651</v>
      </c>
      <c r="S26" s="119" t="s">
        <v>6</v>
      </c>
      <c r="T26" s="134">
        <f t="shared" si="57"/>
        <v>182200</v>
      </c>
      <c r="U26" s="134">
        <f t="shared" si="58"/>
        <v>171277</v>
      </c>
      <c r="V26" s="134">
        <f t="shared" si="59"/>
        <v>155204</v>
      </c>
      <c r="W26" s="134">
        <f t="shared" si="60"/>
        <v>177102</v>
      </c>
      <c r="X26" s="127">
        <f t="shared" si="49"/>
        <v>171445.75</v>
      </c>
      <c r="Y26" s="127">
        <f t="shared" si="50"/>
        <v>11711.390135960233</v>
      </c>
      <c r="Z26" s="127">
        <f t="shared" si="51"/>
        <v>11711.390135960233</v>
      </c>
      <c r="AB26" s="153" t="s">
        <v>6</v>
      </c>
      <c r="AC26" s="77">
        <f t="shared" si="61"/>
        <v>-30605.920000000013</v>
      </c>
      <c r="AD26" s="77">
        <f t="shared" si="62"/>
        <v>-25861.640000000014</v>
      </c>
      <c r="AE26" s="77">
        <f t="shared" si="63"/>
        <v>-38560.48000000001</v>
      </c>
      <c r="AF26" s="77">
        <f t="shared" si="64"/>
        <v>-49626.48000000001</v>
      </c>
      <c r="AG26" s="166">
        <f t="shared" si="53"/>
        <v>-36163.630000000012</v>
      </c>
      <c r="AH26" s="167">
        <f t="shared" si="54"/>
        <v>-25861.640000000014</v>
      </c>
      <c r="AI26" s="167">
        <f t="shared" si="55"/>
        <v>-49626.48000000001</v>
      </c>
    </row>
    <row r="27" spans="1:35" x14ac:dyDescent="0.25">
      <c r="A27" s="119" t="s">
        <v>7</v>
      </c>
      <c r="B27" s="134">
        <v>21008</v>
      </c>
      <c r="C27" s="134">
        <v>21264</v>
      </c>
      <c r="D27" s="134">
        <v>17278</v>
      </c>
      <c r="E27" s="134">
        <v>15351</v>
      </c>
      <c r="F27" s="127">
        <f t="shared" si="41"/>
        <v>18725.25</v>
      </c>
      <c r="G27" s="127">
        <f t="shared" si="42"/>
        <v>2894.609631136238</v>
      </c>
      <c r="H27" s="127">
        <f t="shared" si="43"/>
        <v>2894.609631136238</v>
      </c>
      <c r="I27" s="122"/>
      <c r="J27" s="119" t="s">
        <v>7</v>
      </c>
      <c r="K27" s="134">
        <f t="shared" si="56"/>
        <v>112163</v>
      </c>
      <c r="L27" s="134">
        <f t="shared" si="44"/>
        <v>106998</v>
      </c>
      <c r="M27" s="134">
        <f t="shared" si="44"/>
        <v>97678</v>
      </c>
      <c r="N27" s="134">
        <f t="shared" si="44"/>
        <v>147588</v>
      </c>
      <c r="O27" s="127">
        <f t="shared" si="45"/>
        <v>116106.75</v>
      </c>
      <c r="P27" s="127">
        <f t="shared" si="46"/>
        <v>21826.668846085209</v>
      </c>
      <c r="Q27" s="127">
        <f t="shared" si="47"/>
        <v>21826.668846085209</v>
      </c>
      <c r="S27" s="119" t="s">
        <v>7</v>
      </c>
      <c r="T27" s="134">
        <f t="shared" si="57"/>
        <v>197018</v>
      </c>
      <c r="U27" s="134">
        <f t="shared" si="58"/>
        <v>186604</v>
      </c>
      <c r="V27" s="134">
        <f t="shared" si="59"/>
        <v>180735</v>
      </c>
      <c r="W27" s="134">
        <f t="shared" si="60"/>
        <v>238446</v>
      </c>
      <c r="X27" s="127">
        <f t="shared" si="49"/>
        <v>200700.75</v>
      </c>
      <c r="Y27" s="127">
        <f t="shared" si="50"/>
        <v>26048.775267115085</v>
      </c>
      <c r="Z27" s="127">
        <f t="shared" si="51"/>
        <v>26048.775267115085</v>
      </c>
      <c r="AB27" s="153" t="s">
        <v>7</v>
      </c>
      <c r="AC27" s="77">
        <f t="shared" si="61"/>
        <v>-27086</v>
      </c>
      <c r="AD27" s="77">
        <f t="shared" si="62"/>
        <v>-11361.600000000035</v>
      </c>
      <c r="AE27" s="77">
        <f t="shared" si="63"/>
        <v>-20403.800000000017</v>
      </c>
      <c r="AF27" s="77">
        <f t="shared" si="64"/>
        <v>-89562.16</v>
      </c>
      <c r="AG27" s="166">
        <f t="shared" si="53"/>
        <v>-37103.390000000014</v>
      </c>
      <c r="AH27" s="167">
        <f t="shared" si="54"/>
        <v>-11361.600000000035</v>
      </c>
      <c r="AI27" s="167">
        <f t="shared" si="55"/>
        <v>-89562.16</v>
      </c>
    </row>
    <row r="28" spans="1:35" x14ac:dyDescent="0.25">
      <c r="A28" s="119" t="s">
        <v>8</v>
      </c>
      <c r="B28" s="134">
        <v>21448</v>
      </c>
      <c r="C28" s="134">
        <v>16355</v>
      </c>
      <c r="D28" s="134">
        <v>13032</v>
      </c>
      <c r="E28" s="134">
        <v>14158</v>
      </c>
      <c r="F28" s="127">
        <f t="shared" si="41"/>
        <v>16248.25</v>
      </c>
      <c r="G28" s="127">
        <f t="shared" si="42"/>
        <v>3731.0501091069073</v>
      </c>
      <c r="H28" s="127">
        <f t="shared" si="43"/>
        <v>3731.0501091069073</v>
      </c>
      <c r="I28" s="122"/>
      <c r="J28" s="119" t="s">
        <v>8</v>
      </c>
      <c r="K28" s="134">
        <f t="shared" si="56"/>
        <v>140704</v>
      </c>
      <c r="L28" s="134">
        <f t="shared" si="44"/>
        <v>139154</v>
      </c>
      <c r="M28" s="134">
        <f t="shared" si="44"/>
        <v>134160</v>
      </c>
      <c r="N28" s="134">
        <f t="shared" si="44"/>
        <v>167710</v>
      </c>
      <c r="O28" s="127">
        <f t="shared" si="45"/>
        <v>145432</v>
      </c>
      <c r="P28" s="127">
        <f t="shared" si="46"/>
        <v>15112.186429060048</v>
      </c>
      <c r="Q28" s="127">
        <f t="shared" si="47"/>
        <v>15112.186429060048</v>
      </c>
      <c r="S28" s="119" t="s">
        <v>8</v>
      </c>
      <c r="T28" s="134">
        <f t="shared" si="57"/>
        <v>243982</v>
      </c>
      <c r="U28" s="134">
        <f t="shared" si="58"/>
        <v>252588</v>
      </c>
      <c r="V28" s="134">
        <f t="shared" si="59"/>
        <v>254926</v>
      </c>
      <c r="W28" s="134">
        <f t="shared" si="60"/>
        <v>299164</v>
      </c>
      <c r="X28" s="127">
        <f t="shared" si="49"/>
        <v>262665</v>
      </c>
      <c r="Y28" s="127">
        <f t="shared" si="50"/>
        <v>24783.526383466902</v>
      </c>
      <c r="Z28" s="127">
        <f t="shared" si="51"/>
        <v>24783.526383466902</v>
      </c>
      <c r="AB28" s="153" t="s">
        <v>8</v>
      </c>
      <c r="AC28" s="77">
        <f t="shared" si="61"/>
        <v>-40123.880000000005</v>
      </c>
      <c r="AD28" s="77">
        <f t="shared" si="62"/>
        <v>-67156.760000000009</v>
      </c>
      <c r="AE28" s="77">
        <f t="shared" si="63"/>
        <v>-46175.56</v>
      </c>
      <c r="AF28" s="77">
        <f t="shared" si="64"/>
        <v>-88339.4</v>
      </c>
      <c r="AG28" s="166">
        <f t="shared" si="53"/>
        <v>-60448.9</v>
      </c>
      <c r="AH28" s="167">
        <f t="shared" si="54"/>
        <v>-40123.880000000005</v>
      </c>
      <c r="AI28" s="167">
        <f t="shared" si="55"/>
        <v>-88339.4</v>
      </c>
    </row>
    <row r="29" spans="1:35" x14ac:dyDescent="0.25">
      <c r="A29" s="119" t="s">
        <v>9</v>
      </c>
      <c r="B29" s="134">
        <v>13151</v>
      </c>
      <c r="C29" s="134">
        <v>10106</v>
      </c>
      <c r="D29" s="134">
        <v>7644</v>
      </c>
      <c r="E29" s="134">
        <v>10812</v>
      </c>
      <c r="F29" s="127">
        <f t="shared" si="41"/>
        <v>10428.25</v>
      </c>
      <c r="G29" s="127">
        <f t="shared" si="42"/>
        <v>2266.9013175110499</v>
      </c>
      <c r="H29" s="127">
        <f t="shared" si="43"/>
        <v>2266.9013175110499</v>
      </c>
      <c r="I29" s="122"/>
      <c r="J29" s="119" t="s">
        <v>9</v>
      </c>
      <c r="K29" s="134">
        <f t="shared" si="56"/>
        <v>153773</v>
      </c>
      <c r="L29" s="134">
        <f t="shared" si="44"/>
        <v>166724</v>
      </c>
      <c r="M29" s="134">
        <f t="shared" si="44"/>
        <v>161760</v>
      </c>
      <c r="N29" s="134">
        <f t="shared" si="44"/>
        <v>109326</v>
      </c>
      <c r="O29" s="127">
        <f t="shared" si="45"/>
        <v>147895.75</v>
      </c>
      <c r="P29" s="127">
        <f t="shared" si="46"/>
        <v>26260.795296093631</v>
      </c>
      <c r="Q29" s="127">
        <f t="shared" si="47"/>
        <v>26260.795296093631</v>
      </c>
      <c r="S29" s="119" t="s">
        <v>9</v>
      </c>
      <c r="T29" s="134">
        <f t="shared" si="57"/>
        <v>318087</v>
      </c>
      <c r="U29" s="134">
        <f t="shared" si="58"/>
        <v>301878</v>
      </c>
      <c r="V29" s="134">
        <f t="shared" si="59"/>
        <v>283855</v>
      </c>
      <c r="W29" s="134">
        <f t="shared" si="60"/>
        <v>259236</v>
      </c>
      <c r="X29" s="127">
        <f t="shared" si="49"/>
        <v>290764</v>
      </c>
      <c r="Y29" s="127">
        <f t="shared" si="50"/>
        <v>25244.24944418035</v>
      </c>
      <c r="Z29" s="127">
        <f t="shared" si="51"/>
        <v>25244.24944418035</v>
      </c>
      <c r="AB29" s="153" t="s">
        <v>9</v>
      </c>
      <c r="AC29" s="77">
        <f t="shared" si="61"/>
        <v>-85503.28</v>
      </c>
      <c r="AD29" s="77">
        <f t="shared" si="62"/>
        <v>-97982.640000000014</v>
      </c>
      <c r="AE29" s="77">
        <f t="shared" si="63"/>
        <v>-85764.72</v>
      </c>
      <c r="AF29" s="77">
        <f t="shared" si="64"/>
        <v>-35032.479999999981</v>
      </c>
      <c r="AG29" s="166">
        <f t="shared" si="53"/>
        <v>-76070.78</v>
      </c>
      <c r="AH29" s="167">
        <f t="shared" si="54"/>
        <v>-35032.479999999981</v>
      </c>
      <c r="AI29" s="167">
        <f t="shared" si="55"/>
        <v>-97982.640000000014</v>
      </c>
    </row>
    <row r="30" spans="1:35" x14ac:dyDescent="0.25">
      <c r="A30" s="119" t="s">
        <v>10</v>
      </c>
      <c r="B30" s="134">
        <v>18883</v>
      </c>
      <c r="C30" s="134">
        <v>16748</v>
      </c>
      <c r="D30" s="134">
        <v>12719</v>
      </c>
      <c r="E30" s="134">
        <v>13083</v>
      </c>
      <c r="F30" s="127">
        <f t="shared" si="41"/>
        <v>15358.25</v>
      </c>
      <c r="G30" s="127">
        <f t="shared" si="42"/>
        <v>2971.9617959635125</v>
      </c>
      <c r="H30" s="127">
        <f t="shared" si="43"/>
        <v>2971.9617959635125</v>
      </c>
      <c r="I30" s="122"/>
      <c r="J30" s="119" t="s">
        <v>10</v>
      </c>
      <c r="K30" s="134">
        <f t="shared" si="56"/>
        <v>110050</v>
      </c>
      <c r="L30" s="134">
        <f t="shared" si="44"/>
        <v>124001</v>
      </c>
      <c r="M30" s="134">
        <f t="shared" si="44"/>
        <v>109022</v>
      </c>
      <c r="N30" s="134">
        <f t="shared" si="44"/>
        <v>68211</v>
      </c>
      <c r="O30" s="127">
        <f t="shared" si="45"/>
        <v>102821</v>
      </c>
      <c r="P30" s="127">
        <f t="shared" si="46"/>
        <v>24063.494772511051</v>
      </c>
      <c r="Q30" s="127">
        <f t="shared" si="47"/>
        <v>24063.494772511051</v>
      </c>
      <c r="S30" s="119" t="s">
        <v>10</v>
      </c>
      <c r="T30" s="134">
        <f t="shared" si="57"/>
        <v>186097</v>
      </c>
      <c r="U30" s="134">
        <f t="shared" si="58"/>
        <v>206923</v>
      </c>
      <c r="V30" s="134">
        <f t="shared" si="59"/>
        <v>193465</v>
      </c>
      <c r="W30" s="134">
        <f t="shared" si="60"/>
        <v>162140</v>
      </c>
      <c r="X30" s="127">
        <f t="shared" si="49"/>
        <v>187156.25</v>
      </c>
      <c r="Y30" s="127">
        <f t="shared" si="50"/>
        <v>18774.623891039733</v>
      </c>
      <c r="Z30" s="127">
        <f t="shared" si="51"/>
        <v>18774.623891039733</v>
      </c>
      <c r="AB30" s="153" t="s">
        <v>10</v>
      </c>
      <c r="AC30" s="77">
        <f t="shared" si="61"/>
        <v>-35663.760000000009</v>
      </c>
      <c r="AD30" s="77">
        <f t="shared" si="62"/>
        <v>-45570.559999999998</v>
      </c>
      <c r="AE30" s="77">
        <f t="shared" si="63"/>
        <v>-36464.920000000013</v>
      </c>
      <c r="AF30" s="77">
        <f t="shared" si="64"/>
        <v>-9734.640000000014</v>
      </c>
      <c r="AG30" s="166">
        <f t="shared" si="53"/>
        <v>-31858.470000000008</v>
      </c>
      <c r="AH30" s="167">
        <f t="shared" si="54"/>
        <v>-9734.640000000014</v>
      </c>
      <c r="AI30" s="167">
        <f t="shared" si="55"/>
        <v>-45570.559999999998</v>
      </c>
    </row>
    <row r="31" spans="1:35" x14ac:dyDescent="0.25">
      <c r="A31" s="119" t="s">
        <v>11</v>
      </c>
      <c r="B31" s="134">
        <v>21037</v>
      </c>
      <c r="C31" s="134">
        <v>19518</v>
      </c>
      <c r="D31" s="134">
        <v>14620</v>
      </c>
      <c r="E31" s="134">
        <v>15579</v>
      </c>
      <c r="F31" s="127">
        <f t="shared" si="41"/>
        <v>17688.5</v>
      </c>
      <c r="G31" s="127">
        <f t="shared" si="42"/>
        <v>3078.1598940492572</v>
      </c>
      <c r="H31" s="127">
        <f t="shared" si="43"/>
        <v>3078.1598940492572</v>
      </c>
      <c r="I31" s="122"/>
      <c r="J31" s="119" t="s">
        <v>11</v>
      </c>
      <c r="K31" s="134">
        <f t="shared" si="56"/>
        <v>67060</v>
      </c>
      <c r="L31" s="134">
        <f t="shared" si="44"/>
        <v>77793</v>
      </c>
      <c r="M31" s="134">
        <f t="shared" si="44"/>
        <v>63922</v>
      </c>
      <c r="N31" s="134">
        <f t="shared" si="44"/>
        <v>15579</v>
      </c>
      <c r="O31" s="127">
        <f t="shared" si="45"/>
        <v>56088.5</v>
      </c>
      <c r="P31" s="127">
        <f t="shared" si="46"/>
        <v>27651.657243885642</v>
      </c>
      <c r="Q31" s="127">
        <f t="shared" si="47"/>
        <v>27651.657243885642</v>
      </c>
      <c r="S31" s="119" t="s">
        <v>11</v>
      </c>
      <c r="T31" s="134">
        <f t="shared" si="57"/>
        <v>126930</v>
      </c>
      <c r="U31" s="134">
        <f t="shared" si="58"/>
        <v>140671</v>
      </c>
      <c r="V31" s="134">
        <f t="shared" si="59"/>
        <v>131026</v>
      </c>
      <c r="W31" s="134">
        <f t="shared" si="60"/>
        <v>92440</v>
      </c>
      <c r="X31" s="127">
        <f t="shared" si="49"/>
        <v>122766.75</v>
      </c>
      <c r="Y31" s="127">
        <f t="shared" si="50"/>
        <v>21022.383267603127</v>
      </c>
      <c r="Z31" s="127">
        <f t="shared" si="51"/>
        <v>21022.383267603127</v>
      </c>
      <c r="AB31" s="153" t="s">
        <v>11</v>
      </c>
      <c r="AC31" s="77">
        <f t="shared" si="61"/>
        <v>-22970.760000000009</v>
      </c>
      <c r="AD31" s="77">
        <f t="shared" si="62"/>
        <v>-29338.36</v>
      </c>
      <c r="AE31" s="77">
        <f t="shared" si="63"/>
        <v>-10094.639999999985</v>
      </c>
      <c r="AF31" s="77">
        <f t="shared" si="64"/>
        <v>27389.959999999992</v>
      </c>
      <c r="AG31" s="166">
        <f t="shared" si="53"/>
        <v>-8753.4500000000007</v>
      </c>
      <c r="AH31" s="167">
        <f t="shared" si="54"/>
        <v>27389.959999999992</v>
      </c>
      <c r="AI31" s="167">
        <f t="shared" si="55"/>
        <v>-29338.36</v>
      </c>
    </row>
    <row r="32" spans="1:35" x14ac:dyDescent="0.25">
      <c r="A32" s="119" t="s">
        <v>12</v>
      </c>
      <c r="B32" s="134">
        <v>17272</v>
      </c>
      <c r="C32" s="134">
        <v>17699</v>
      </c>
      <c r="D32" s="134">
        <v>12934</v>
      </c>
      <c r="E32" s="113">
        <v>13609</v>
      </c>
      <c r="F32" s="127">
        <f t="shared" si="41"/>
        <v>15378.5</v>
      </c>
      <c r="G32" s="127">
        <f t="shared" si="42"/>
        <v>2454.7079255992962</v>
      </c>
      <c r="H32" s="127">
        <f t="shared" si="43"/>
        <v>2454.7079255992962</v>
      </c>
      <c r="I32" s="122"/>
      <c r="J32" s="119" t="s">
        <v>12</v>
      </c>
      <c r="K32" s="134">
        <f t="shared" si="56"/>
        <v>37765</v>
      </c>
      <c r="L32" s="134">
        <f t="shared" si="44"/>
        <v>35882</v>
      </c>
      <c r="M32" s="134">
        <f t="shared" si="44"/>
        <v>31435</v>
      </c>
      <c r="N32" s="134">
        <f t="shared" si="44"/>
        <v>13609</v>
      </c>
      <c r="O32" s="127">
        <f t="shared" si="45"/>
        <v>29672.75</v>
      </c>
      <c r="P32" s="127">
        <f t="shared" si="46"/>
        <v>11033.115074628742</v>
      </c>
      <c r="Q32" s="127">
        <f t="shared" si="47"/>
        <v>11033.115074628742</v>
      </c>
      <c r="S32" s="119" t="s">
        <v>12</v>
      </c>
      <c r="T32" s="134">
        <f t="shared" si="57"/>
        <v>83392</v>
      </c>
      <c r="U32" s="134">
        <f t="shared" si="58"/>
        <v>80929</v>
      </c>
      <c r="V32" s="134">
        <f t="shared" si="59"/>
        <v>88360</v>
      </c>
      <c r="W32" s="134">
        <f t="shared" si="60"/>
        <v>67475</v>
      </c>
      <c r="X32" s="127">
        <f t="shared" si="49"/>
        <v>80039</v>
      </c>
      <c r="Y32" s="127">
        <f t="shared" si="50"/>
        <v>8928.0054883495668</v>
      </c>
      <c r="Z32" s="127">
        <f t="shared" si="51"/>
        <v>8928.0054883495668</v>
      </c>
      <c r="AB32" s="153" t="s">
        <v>12</v>
      </c>
      <c r="AC32" s="77">
        <f t="shared" si="61"/>
        <v>-34990.28</v>
      </c>
      <c r="AD32" s="77">
        <f t="shared" si="62"/>
        <v>-28153.040000000001</v>
      </c>
      <c r="AE32" s="77">
        <f t="shared" si="63"/>
        <v>-32043.880000000005</v>
      </c>
      <c r="AF32" s="77">
        <f t="shared" si="64"/>
        <v>-67475</v>
      </c>
      <c r="AG32" s="166">
        <f t="shared" si="53"/>
        <v>-40665.550000000003</v>
      </c>
      <c r="AH32" s="167">
        <f t="shared" si="54"/>
        <v>-28153.040000000001</v>
      </c>
      <c r="AI32" s="167">
        <f t="shared" si="55"/>
        <v>-67475</v>
      </c>
    </row>
    <row r="33" spans="1:35" ht="15.75" thickBot="1" x14ac:dyDescent="0.3">
      <c r="A33" s="119" t="s">
        <v>13</v>
      </c>
      <c r="B33" s="134">
        <v>16111</v>
      </c>
      <c r="C33" s="134">
        <v>19237</v>
      </c>
      <c r="D33" s="62">
        <v>12124</v>
      </c>
      <c r="E33" s="62"/>
      <c r="F33" s="127">
        <f t="shared" si="41"/>
        <v>15824</v>
      </c>
      <c r="G33" s="127">
        <f t="shared" si="42"/>
        <v>3565.1744697840527</v>
      </c>
      <c r="H33" s="127">
        <f t="shared" si="43"/>
        <v>3565.1744697840527</v>
      </c>
      <c r="I33" s="122"/>
      <c r="J33" s="119" t="s">
        <v>13</v>
      </c>
      <c r="K33" s="134">
        <f t="shared" si="56"/>
        <v>39550</v>
      </c>
      <c r="L33" s="134">
        <f t="shared" si="44"/>
        <v>43924</v>
      </c>
      <c r="M33" s="134">
        <f t="shared" si="44"/>
        <v>34396</v>
      </c>
      <c r="N33" s="134"/>
      <c r="O33" s="127">
        <f t="shared" si="45"/>
        <v>39290</v>
      </c>
      <c r="P33" s="127">
        <f t="shared" si="46"/>
        <v>4769.3181902657743</v>
      </c>
      <c r="Q33" s="127">
        <f t="shared" si="47"/>
        <v>4769.3181902657743</v>
      </c>
      <c r="S33" s="119" t="s">
        <v>13</v>
      </c>
      <c r="T33" s="134">
        <f>K33+B102+B52+B138</f>
        <v>85409</v>
      </c>
      <c r="U33" s="134">
        <f t="shared" si="58"/>
        <v>87371</v>
      </c>
      <c r="V33" s="134">
        <f t="shared" si="59"/>
        <v>91202</v>
      </c>
      <c r="W33" s="134">
        <f t="shared" si="60"/>
        <v>0</v>
      </c>
      <c r="X33" s="127">
        <f t="shared" si="49"/>
        <v>65995.5</v>
      </c>
      <c r="Y33" s="127">
        <f t="shared" si="50"/>
        <v>44062.719105838216</v>
      </c>
      <c r="Z33" s="127">
        <f t="shared" si="51"/>
        <v>44062.719105838216</v>
      </c>
      <c r="AB33" s="168" t="s">
        <v>13</v>
      </c>
      <c r="AC33" s="43">
        <f t="shared" si="61"/>
        <v>-36221.279999999999</v>
      </c>
      <c r="AD33" s="43">
        <f t="shared" si="62"/>
        <v>-22229.800000000003</v>
      </c>
      <c r="AE33" s="43">
        <f t="shared" si="63"/>
        <v>-27692.880000000005</v>
      </c>
      <c r="AF33" s="43"/>
      <c r="AG33" s="166">
        <f t="shared" si="53"/>
        <v>-28714.653333333335</v>
      </c>
      <c r="AH33" s="167">
        <f t="shared" si="54"/>
        <v>-22229.800000000003</v>
      </c>
      <c r="AI33" s="167">
        <f t="shared" si="55"/>
        <v>-36221.279999999999</v>
      </c>
    </row>
    <row r="34" spans="1:35" ht="16.5" thickTop="1" thickBot="1" x14ac:dyDescent="0.3">
      <c r="A34" s="128" t="s">
        <v>0</v>
      </c>
      <c r="B34" s="129">
        <f t="shared" ref="B34:D34" si="65">SUM(B22:B33)</f>
        <v>232569</v>
      </c>
      <c r="C34" s="129">
        <f t="shared" si="65"/>
        <v>211253</v>
      </c>
      <c r="D34" s="129">
        <f t="shared" si="65"/>
        <v>176107</v>
      </c>
      <c r="E34" s="129">
        <f>SUM(E22:E33)</f>
        <v>155268</v>
      </c>
      <c r="I34" s="122"/>
      <c r="J34" s="128" t="s">
        <v>0</v>
      </c>
      <c r="K34" s="129">
        <f t="shared" ref="K34:M34" si="66">SUM(K22:K33)</f>
        <v>931005</v>
      </c>
      <c r="L34" s="129">
        <f t="shared" si="66"/>
        <v>964115</v>
      </c>
      <c r="M34" s="129">
        <f t="shared" si="66"/>
        <v>895870</v>
      </c>
      <c r="N34" s="129">
        <f>SUM(N22:N33)</f>
        <v>838392</v>
      </c>
      <c r="S34" s="128" t="s">
        <v>0</v>
      </c>
      <c r="T34" s="129">
        <f t="shared" ref="T34:V34" si="67">SUM(T22:T33)</f>
        <v>1790433</v>
      </c>
      <c r="U34" s="129">
        <f t="shared" si="67"/>
        <v>1795736</v>
      </c>
      <c r="V34" s="129">
        <f t="shared" si="67"/>
        <v>1774388</v>
      </c>
      <c r="W34" s="129">
        <f>SUM(W22:W33)</f>
        <v>1770416</v>
      </c>
      <c r="AB34" s="169" t="s">
        <v>0</v>
      </c>
      <c r="AC34" s="170">
        <f>SUM(AC22:AC33)</f>
        <v>-362471.04000000015</v>
      </c>
      <c r="AD34" s="170">
        <f>SUM(AD22:AD33)</f>
        <v>-429877.92</v>
      </c>
      <c r="AE34" s="170">
        <f>SUM(AE22:AE33)</f>
        <v>-364016.08000000007</v>
      </c>
      <c r="AF34" s="170">
        <f>SUM(AF22:AF33)</f>
        <v>-483484.04000000004</v>
      </c>
      <c r="AG34" s="148"/>
      <c r="AH34" s="148"/>
      <c r="AI34" s="148"/>
    </row>
    <row r="35" spans="1:35" ht="15.75" thickTop="1" x14ac:dyDescent="0.25">
      <c r="A35" s="136" t="s">
        <v>14</v>
      </c>
      <c r="B35" s="136"/>
      <c r="C35" s="136"/>
      <c r="D35" s="136"/>
      <c r="E35" s="136"/>
      <c r="F35" s="136"/>
      <c r="G35" s="136"/>
      <c r="H35" s="136"/>
      <c r="I35" s="122"/>
      <c r="J35" s="136" t="s">
        <v>14</v>
      </c>
      <c r="K35" s="136"/>
      <c r="L35" s="136"/>
      <c r="M35" s="136"/>
      <c r="N35" s="136"/>
      <c r="O35" s="136"/>
      <c r="P35" s="136"/>
      <c r="Q35" s="136"/>
      <c r="S35" s="136" t="s">
        <v>14</v>
      </c>
      <c r="T35" s="136"/>
      <c r="U35" s="136"/>
      <c r="V35" s="136"/>
      <c r="W35" s="136"/>
      <c r="X35" s="136"/>
      <c r="Y35" s="136"/>
      <c r="Z35" s="136"/>
    </row>
    <row r="36" spans="1:35" x14ac:dyDescent="0.25">
      <c r="A36" s="130" t="s">
        <v>15</v>
      </c>
      <c r="B36" s="127">
        <f t="shared" ref="B36:H36" si="68">AVERAGE(B22:B24,B31:B33)</f>
        <v>19600.333333333332</v>
      </c>
      <c r="C36" s="127">
        <f t="shared" si="68"/>
        <v>18128.333333333332</v>
      </c>
      <c r="D36" s="127">
        <f t="shared" si="68"/>
        <v>15169.666666666666</v>
      </c>
      <c r="E36" s="127">
        <f t="shared" si="68"/>
        <v>14141.8</v>
      </c>
      <c r="F36" s="127">
        <f t="shared" si="68"/>
        <v>16830.125</v>
      </c>
      <c r="G36" s="127">
        <f t="shared" si="68"/>
        <v>3033.1243463793835</v>
      </c>
      <c r="H36" s="127">
        <f t="shared" si="68"/>
        <v>3033.1243463793835</v>
      </c>
      <c r="I36" s="127"/>
      <c r="J36" s="130" t="s">
        <v>15</v>
      </c>
      <c r="K36" s="127">
        <f t="shared" ref="K36:Q36" si="69">AVERAGE(K22:K24,K31:K33)</f>
        <v>42491.333333333336</v>
      </c>
      <c r="L36" s="127">
        <f t="shared" si="69"/>
        <v>43902.333333333336</v>
      </c>
      <c r="M36" s="127">
        <f t="shared" si="69"/>
        <v>39910.166666666664</v>
      </c>
      <c r="N36" s="127">
        <f t="shared" si="69"/>
        <v>32131.599999999999</v>
      </c>
      <c r="O36" s="127">
        <f t="shared" si="69"/>
        <v>39907.125</v>
      </c>
      <c r="P36" s="127">
        <f t="shared" si="69"/>
        <v>12076.162727285424</v>
      </c>
      <c r="Q36" s="127">
        <f t="shared" si="69"/>
        <v>12076.162727285424</v>
      </c>
      <c r="S36" s="130" t="s">
        <v>15</v>
      </c>
      <c r="T36" s="127">
        <f t="shared" ref="T36:Z36" si="70">AVERAGE(T22:T24,T31:T33)</f>
        <v>90578.666666666672</v>
      </c>
      <c r="U36" s="127">
        <f t="shared" si="70"/>
        <v>92805.166666666672</v>
      </c>
      <c r="V36" s="127">
        <f t="shared" si="70"/>
        <v>95109.333333333328</v>
      </c>
      <c r="W36" s="127">
        <f t="shared" si="70"/>
        <v>79478</v>
      </c>
      <c r="X36" s="127">
        <f t="shared" si="70"/>
        <v>89492.791666666672</v>
      </c>
      <c r="Y36" s="127">
        <f t="shared" si="70"/>
        <v>17925.992625615389</v>
      </c>
      <c r="Z36" s="127">
        <f t="shared" si="70"/>
        <v>17925.992625615389</v>
      </c>
    </row>
    <row r="37" spans="1:35" x14ac:dyDescent="0.25">
      <c r="A37" s="130" t="s">
        <v>16</v>
      </c>
      <c r="B37" s="127">
        <f t="shared" ref="B37:H37" si="71">AVERAGE(B25:B30)</f>
        <v>19161.166666666668</v>
      </c>
      <c r="C37" s="127">
        <f t="shared" si="71"/>
        <v>17080.5</v>
      </c>
      <c r="D37" s="127">
        <f t="shared" si="71"/>
        <v>14181.5</v>
      </c>
      <c r="E37" s="127">
        <f t="shared" si="71"/>
        <v>14093.166666666666</v>
      </c>
      <c r="F37" s="127">
        <f t="shared" si="71"/>
        <v>16129.083333333334</v>
      </c>
      <c r="G37" s="127">
        <f t="shared" si="71"/>
        <v>2668.3029573906351</v>
      </c>
      <c r="H37" s="127">
        <f t="shared" si="71"/>
        <v>2668.3029573906351</v>
      </c>
      <c r="I37" s="127"/>
      <c r="J37" s="130" t="s">
        <v>16</v>
      </c>
      <c r="K37" s="127">
        <f t="shared" ref="K37:Q37" si="72">AVERAGE(K25:K30)</f>
        <v>112676.16666666667</v>
      </c>
      <c r="L37" s="127">
        <f t="shared" si="72"/>
        <v>116783.5</v>
      </c>
      <c r="M37" s="127">
        <f t="shared" si="72"/>
        <v>109401.5</v>
      </c>
      <c r="N37" s="127">
        <f t="shared" si="72"/>
        <v>112955.66666666667</v>
      </c>
      <c r="O37" s="127">
        <f t="shared" si="72"/>
        <v>112954.20833333333</v>
      </c>
      <c r="P37" s="127">
        <f t="shared" si="72"/>
        <v>17733.653010624712</v>
      </c>
      <c r="Q37" s="127">
        <f t="shared" si="72"/>
        <v>17733.653010624712</v>
      </c>
      <c r="S37" s="130" t="s">
        <v>16</v>
      </c>
      <c r="T37" s="127">
        <f t="shared" ref="T37:Z37" si="73">AVERAGE(T25:T30)</f>
        <v>207826.83333333334</v>
      </c>
      <c r="U37" s="127">
        <f t="shared" si="73"/>
        <v>206484.16666666666</v>
      </c>
      <c r="V37" s="127">
        <f t="shared" si="73"/>
        <v>200622</v>
      </c>
      <c r="W37" s="127">
        <f t="shared" si="73"/>
        <v>215591.33333333334</v>
      </c>
      <c r="X37" s="127">
        <f t="shared" si="73"/>
        <v>207631.08333333334</v>
      </c>
      <c r="Y37" s="127">
        <f t="shared" si="73"/>
        <v>20747.385239169536</v>
      </c>
      <c r="Z37" s="127">
        <f t="shared" si="73"/>
        <v>20747.385239169536</v>
      </c>
    </row>
    <row r="38" spans="1:35" ht="15.75" thickBot="1" x14ac:dyDescent="0.3"/>
    <row r="39" spans="1:35" ht="17.25" thickTop="1" thickBot="1" x14ac:dyDescent="0.3">
      <c r="A39" s="140" t="s">
        <v>85</v>
      </c>
      <c r="B39" s="141"/>
      <c r="C39" s="141"/>
      <c r="D39" s="141"/>
      <c r="E39" s="141"/>
      <c r="F39" s="142"/>
      <c r="AB39" s="140" t="s">
        <v>240</v>
      </c>
      <c r="AC39" s="141"/>
      <c r="AD39" s="141"/>
      <c r="AE39" s="141"/>
      <c r="AF39" s="141"/>
    </row>
    <row r="40" spans="1:35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AB40" s="124"/>
      <c r="AC40" s="125">
        <v>2014</v>
      </c>
      <c r="AD40" s="125">
        <v>2015</v>
      </c>
      <c r="AE40" s="125">
        <v>2016</v>
      </c>
      <c r="AF40" s="125">
        <v>2017</v>
      </c>
    </row>
    <row r="41" spans="1:35" x14ac:dyDescent="0.25">
      <c r="A41" s="119" t="s">
        <v>2</v>
      </c>
      <c r="B41" s="134">
        <v>27339</v>
      </c>
      <c r="C41" s="133">
        <v>33938</v>
      </c>
      <c r="D41" s="133">
        <v>33465</v>
      </c>
      <c r="E41" s="133">
        <v>46823</v>
      </c>
      <c r="AB41" s="119" t="s">
        <v>2</v>
      </c>
      <c r="AC41" s="77">
        <f>-1*AC22</f>
        <v>10506</v>
      </c>
      <c r="AD41" s="77">
        <f t="shared" ref="AD41:AF41" si="74">-1*AD22</f>
        <v>28585.200000000004</v>
      </c>
      <c r="AE41" s="77">
        <f t="shared" si="74"/>
        <v>15967.720000000001</v>
      </c>
      <c r="AF41" s="77">
        <f t="shared" si="74"/>
        <v>23767.320000000007</v>
      </c>
    </row>
    <row r="42" spans="1:35" x14ac:dyDescent="0.25">
      <c r="A42" s="119" t="s">
        <v>3</v>
      </c>
      <c r="B42" s="134">
        <v>30721</v>
      </c>
      <c r="C42" s="133">
        <v>32854</v>
      </c>
      <c r="D42" s="133">
        <v>38994</v>
      </c>
      <c r="E42" s="133">
        <v>45081</v>
      </c>
      <c r="AB42" s="119" t="s">
        <v>3</v>
      </c>
      <c r="AC42" s="77">
        <f t="shared" ref="AC42:AF52" si="75">-1*AC23</f>
        <v>17546.12000000001</v>
      </c>
      <c r="AD42" s="77">
        <f t="shared" si="75"/>
        <v>29217.239999999998</v>
      </c>
      <c r="AE42" s="77">
        <f t="shared" si="75"/>
        <v>27781.440000000002</v>
      </c>
      <c r="AF42" s="77">
        <f t="shared" si="75"/>
        <v>37209.520000000004</v>
      </c>
    </row>
    <row r="43" spans="1:35" x14ac:dyDescent="0.25">
      <c r="A43" s="119" t="s">
        <v>4</v>
      </c>
      <c r="B43" s="134">
        <v>34993</v>
      </c>
      <c r="C43" s="133">
        <v>40441</v>
      </c>
      <c r="D43" s="133">
        <v>43572</v>
      </c>
      <c r="E43" s="133">
        <v>55632</v>
      </c>
      <c r="AB43" s="119" t="s">
        <v>4</v>
      </c>
      <c r="AC43" s="77">
        <f t="shared" si="75"/>
        <v>24831.839999999997</v>
      </c>
      <c r="AD43" s="77">
        <f t="shared" si="75"/>
        <v>43363.840000000004</v>
      </c>
      <c r="AE43" s="77">
        <f t="shared" si="75"/>
        <v>33935.520000000004</v>
      </c>
      <c r="AF43" s="77">
        <f t="shared" si="75"/>
        <v>87131.839999999997</v>
      </c>
    </row>
    <row r="44" spans="1:35" x14ac:dyDescent="0.25">
      <c r="A44" s="119" t="s">
        <v>5</v>
      </c>
      <c r="B44" s="134">
        <v>39181</v>
      </c>
      <c r="C44" s="133">
        <v>40182</v>
      </c>
      <c r="D44" s="133">
        <v>45983</v>
      </c>
      <c r="E44" s="133">
        <v>49481</v>
      </c>
      <c r="AB44" s="119" t="s">
        <v>5</v>
      </c>
      <c r="AC44" s="77">
        <f t="shared" si="75"/>
        <v>-3578.0799999999872</v>
      </c>
      <c r="AD44" s="77">
        <f t="shared" si="75"/>
        <v>1057.2399999999907</v>
      </c>
      <c r="AE44" s="77">
        <f t="shared" si="75"/>
        <v>-10869.479999999981</v>
      </c>
      <c r="AF44" s="77">
        <f t="shared" si="75"/>
        <v>22995.160000000033</v>
      </c>
    </row>
    <row r="45" spans="1:35" x14ac:dyDescent="0.25">
      <c r="A45" s="119" t="s">
        <v>6</v>
      </c>
      <c r="B45" s="134">
        <v>38843</v>
      </c>
      <c r="C45" s="133">
        <v>40820</v>
      </c>
      <c r="D45" s="133">
        <v>47563</v>
      </c>
      <c r="E45" s="133">
        <v>53979</v>
      </c>
      <c r="AB45" s="119" t="s">
        <v>6</v>
      </c>
      <c r="AC45" s="77">
        <f t="shared" si="75"/>
        <v>30605.920000000013</v>
      </c>
      <c r="AD45" s="77">
        <f t="shared" si="75"/>
        <v>25861.640000000014</v>
      </c>
      <c r="AE45" s="77">
        <f t="shared" si="75"/>
        <v>38560.48000000001</v>
      </c>
      <c r="AF45" s="77">
        <f t="shared" si="75"/>
        <v>49626.48000000001</v>
      </c>
    </row>
    <row r="46" spans="1:35" x14ac:dyDescent="0.25">
      <c r="A46" s="119" t="s">
        <v>7</v>
      </c>
      <c r="B46" s="134">
        <v>42033</v>
      </c>
      <c r="C46" s="133">
        <v>45904</v>
      </c>
      <c r="D46" s="133">
        <v>49631</v>
      </c>
      <c r="E46" s="133">
        <v>59718</v>
      </c>
      <c r="AB46" s="119" t="s">
        <v>7</v>
      </c>
      <c r="AC46" s="77">
        <f t="shared" si="75"/>
        <v>27086</v>
      </c>
      <c r="AD46" s="77">
        <f t="shared" si="75"/>
        <v>11361.600000000035</v>
      </c>
      <c r="AE46" s="77">
        <f t="shared" si="75"/>
        <v>20403.800000000017</v>
      </c>
      <c r="AF46" s="77">
        <f t="shared" si="75"/>
        <v>89562.16</v>
      </c>
    </row>
    <row r="47" spans="1:35" x14ac:dyDescent="0.25">
      <c r="A47" s="119" t="s">
        <v>8</v>
      </c>
      <c r="B47" s="134">
        <v>44898</v>
      </c>
      <c r="C47" s="133">
        <v>52282</v>
      </c>
      <c r="D47" s="133">
        <v>52186</v>
      </c>
      <c r="E47" s="133">
        <v>56802</v>
      </c>
      <c r="AB47" s="119" t="s">
        <v>8</v>
      </c>
      <c r="AC47" s="77">
        <f t="shared" si="75"/>
        <v>40123.880000000005</v>
      </c>
      <c r="AD47" s="77">
        <f t="shared" si="75"/>
        <v>67156.760000000009</v>
      </c>
      <c r="AE47" s="77">
        <f t="shared" si="75"/>
        <v>46175.56</v>
      </c>
      <c r="AF47" s="77">
        <f t="shared" si="75"/>
        <v>88339.4</v>
      </c>
    </row>
    <row r="48" spans="1:35" x14ac:dyDescent="0.25">
      <c r="A48" s="119" t="s">
        <v>9</v>
      </c>
      <c r="B48" s="134">
        <v>38560</v>
      </c>
      <c r="C48" s="133">
        <v>44590</v>
      </c>
      <c r="D48" s="133">
        <v>50725</v>
      </c>
      <c r="E48" s="133">
        <v>54765</v>
      </c>
      <c r="AB48" s="119" t="s">
        <v>9</v>
      </c>
      <c r="AC48" s="77">
        <f t="shared" si="75"/>
        <v>85503.28</v>
      </c>
      <c r="AD48" s="77">
        <f t="shared" si="75"/>
        <v>97982.640000000014</v>
      </c>
      <c r="AE48" s="77">
        <f t="shared" si="75"/>
        <v>85764.72</v>
      </c>
      <c r="AF48" s="77">
        <f t="shared" si="75"/>
        <v>35032.479999999981</v>
      </c>
    </row>
    <row r="49" spans="1:33" x14ac:dyDescent="0.25">
      <c r="A49" s="119" t="s">
        <v>10</v>
      </c>
      <c r="B49" s="134">
        <v>35865</v>
      </c>
      <c r="C49" s="133">
        <v>41174</v>
      </c>
      <c r="D49" s="133">
        <v>46787</v>
      </c>
      <c r="E49" s="133">
        <v>52715</v>
      </c>
      <c r="AB49" s="119" t="s">
        <v>10</v>
      </c>
      <c r="AC49" s="77">
        <f t="shared" si="75"/>
        <v>35663.760000000009</v>
      </c>
      <c r="AD49" s="77">
        <f t="shared" si="75"/>
        <v>45570.559999999998</v>
      </c>
      <c r="AE49" s="77">
        <f t="shared" si="75"/>
        <v>36464.920000000013</v>
      </c>
      <c r="AF49" s="77">
        <f t="shared" si="75"/>
        <v>9734.640000000014</v>
      </c>
    </row>
    <row r="50" spans="1:33" x14ac:dyDescent="0.25">
      <c r="A50" s="119" t="s">
        <v>11</v>
      </c>
      <c r="B50" s="134">
        <v>39197</v>
      </c>
      <c r="C50" s="133">
        <v>39817</v>
      </c>
      <c r="D50" s="133">
        <v>42918</v>
      </c>
      <c r="E50" s="133">
        <v>55339</v>
      </c>
      <c r="AB50" s="119" t="s">
        <v>11</v>
      </c>
      <c r="AC50" s="77">
        <f t="shared" si="75"/>
        <v>22970.760000000009</v>
      </c>
      <c r="AD50" s="77">
        <f t="shared" si="75"/>
        <v>29338.36</v>
      </c>
      <c r="AE50" s="77">
        <f t="shared" si="75"/>
        <v>10094.639999999985</v>
      </c>
      <c r="AF50" s="77">
        <f t="shared" si="75"/>
        <v>-27389.959999999992</v>
      </c>
    </row>
    <row r="51" spans="1:33" x14ac:dyDescent="0.25">
      <c r="A51" s="119" t="s">
        <v>12</v>
      </c>
      <c r="B51" s="134">
        <v>32580</v>
      </c>
      <c r="C51" s="133">
        <v>32096</v>
      </c>
      <c r="D51" s="133">
        <v>43803</v>
      </c>
      <c r="E51" s="133">
        <v>53866</v>
      </c>
      <c r="AB51" s="119" t="s">
        <v>12</v>
      </c>
      <c r="AC51" s="77">
        <f t="shared" si="75"/>
        <v>34990.28</v>
      </c>
      <c r="AD51" s="77">
        <f t="shared" si="75"/>
        <v>28153.040000000001</v>
      </c>
      <c r="AE51" s="77">
        <f t="shared" si="75"/>
        <v>32043.880000000005</v>
      </c>
      <c r="AF51" s="77"/>
    </row>
    <row r="52" spans="1:33" ht="15.75" thickBot="1" x14ac:dyDescent="0.3">
      <c r="A52" s="119" t="s">
        <v>13</v>
      </c>
      <c r="B52" s="134">
        <v>32269</v>
      </c>
      <c r="C52" s="133">
        <v>30802</v>
      </c>
      <c r="D52" s="133">
        <v>41608</v>
      </c>
      <c r="E52" s="133"/>
      <c r="AB52" s="139" t="s">
        <v>13</v>
      </c>
      <c r="AC52" s="43">
        <f t="shared" si="75"/>
        <v>36221.279999999999</v>
      </c>
      <c r="AD52" s="43">
        <f t="shared" si="75"/>
        <v>22229.800000000003</v>
      </c>
      <c r="AE52" s="43">
        <f t="shared" si="75"/>
        <v>27692.880000000005</v>
      </c>
      <c r="AF52" s="43"/>
    </row>
    <row r="53" spans="1:33" ht="16.5" thickTop="1" thickBot="1" x14ac:dyDescent="0.3">
      <c r="A53" s="128" t="s">
        <v>0</v>
      </c>
      <c r="B53" s="129">
        <v>436479</v>
      </c>
      <c r="C53" s="129">
        <v>474900</v>
      </c>
      <c r="D53" s="129">
        <v>537235</v>
      </c>
      <c r="E53" s="129">
        <v>54765</v>
      </c>
      <c r="AB53" s="138" t="s">
        <v>0</v>
      </c>
      <c r="AC53" s="170">
        <f>SUM(AC41:AC52)</f>
        <v>362471.04000000015</v>
      </c>
      <c r="AD53" s="170">
        <f>SUM(AD41:AD52)</f>
        <v>429877.92</v>
      </c>
      <c r="AE53" s="170">
        <f>SUM(AE41:AE52)</f>
        <v>364016.08000000007</v>
      </c>
      <c r="AF53" s="170">
        <f>SUM(AF41:AF52)</f>
        <v>416009.04000000004</v>
      </c>
    </row>
    <row r="54" spans="1:33" ht="15.75" thickTop="1" x14ac:dyDescent="0.25">
      <c r="A54" s="136" t="s">
        <v>14</v>
      </c>
      <c r="B54" s="136"/>
      <c r="C54" s="136"/>
      <c r="D54" s="136"/>
      <c r="E54" s="136"/>
    </row>
    <row r="55" spans="1:33" ht="15.75" thickBot="1" x14ac:dyDescent="0.3"/>
    <row r="56" spans="1:33" ht="17.25" thickTop="1" thickBot="1" x14ac:dyDescent="0.3">
      <c r="A56" s="140" t="s">
        <v>79</v>
      </c>
      <c r="B56" s="141"/>
      <c r="C56" s="141"/>
      <c r="D56" s="141"/>
      <c r="E56" s="141"/>
      <c r="J56" s="140" t="s">
        <v>171</v>
      </c>
      <c r="K56" s="141"/>
      <c r="L56" s="141"/>
      <c r="M56" s="141"/>
      <c r="N56" s="141"/>
      <c r="O56" s="142"/>
      <c r="S56" s="149" t="s">
        <v>172</v>
      </c>
      <c r="T56" s="164"/>
      <c r="U56" s="164"/>
      <c r="V56" s="164"/>
      <c r="W56" s="164"/>
      <c r="X56" s="150"/>
      <c r="Y56" s="148"/>
      <c r="Z56" s="148"/>
      <c r="AC56" s="140" t="s">
        <v>241</v>
      </c>
      <c r="AD56" s="141"/>
      <c r="AE56" s="141"/>
      <c r="AF56" s="141"/>
      <c r="AG56" s="141"/>
    </row>
    <row r="57" spans="1:33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  <c r="J57" s="124"/>
      <c r="K57" s="125">
        <v>2014</v>
      </c>
      <c r="L57" s="125">
        <v>2015</v>
      </c>
      <c r="M57" s="125">
        <v>2016</v>
      </c>
      <c r="N57" s="125">
        <v>2017</v>
      </c>
      <c r="O57" s="126" t="s">
        <v>1</v>
      </c>
      <c r="P57" s="117" t="s">
        <v>18</v>
      </c>
      <c r="Q57" s="117" t="s">
        <v>17</v>
      </c>
      <c r="S57" s="151"/>
      <c r="T57" s="147">
        <v>2014</v>
      </c>
      <c r="U57" s="147">
        <v>2015</v>
      </c>
      <c r="V57" s="147">
        <v>2016</v>
      </c>
      <c r="W57" s="147">
        <v>2017</v>
      </c>
      <c r="X57" s="152" t="s">
        <v>1</v>
      </c>
      <c r="Y57" s="165" t="s">
        <v>18</v>
      </c>
      <c r="Z57" s="165" t="s">
        <v>17</v>
      </c>
      <c r="AC57" s="124"/>
      <c r="AD57" s="125">
        <v>2014</v>
      </c>
      <c r="AE57" s="125">
        <v>2015</v>
      </c>
      <c r="AF57" s="125">
        <v>2016</v>
      </c>
      <c r="AG57" s="125">
        <v>2017</v>
      </c>
    </row>
    <row r="58" spans="1:33" x14ac:dyDescent="0.25">
      <c r="A58" s="119" t="s">
        <v>2</v>
      </c>
      <c r="B58" s="134">
        <f t="shared" ref="B58:E69" si="76">B22+B41</f>
        <v>52289</v>
      </c>
      <c r="C58" s="134">
        <f t="shared" si="76"/>
        <v>50803</v>
      </c>
      <c r="D58" s="134">
        <f t="shared" si="76"/>
        <v>52140</v>
      </c>
      <c r="E58" s="134">
        <f t="shared" si="76"/>
        <v>58882</v>
      </c>
      <c r="J58" s="119" t="s">
        <v>2</v>
      </c>
      <c r="K58" s="134">
        <f>B74+B91+B127</f>
        <v>29412</v>
      </c>
      <c r="L58" s="134">
        <f t="shared" ref="L58:N58" si="77">C74+C91+C127</f>
        <v>30642</v>
      </c>
      <c r="M58" s="134">
        <f t="shared" si="77"/>
        <v>29913</v>
      </c>
      <c r="N58" s="134">
        <f t="shared" si="77"/>
        <v>26019</v>
      </c>
      <c r="O58" s="127">
        <f t="shared" ref="O58:O69" si="78">AVERAGE(K58:N58)</f>
        <v>28996.5</v>
      </c>
      <c r="P58" s="127">
        <f t="shared" ref="P58:P69" si="79">STDEVA(K58:N58)</f>
        <v>2048.2341174777848</v>
      </c>
      <c r="Q58" s="127">
        <f t="shared" ref="Q58:Q69" si="80">STDEVA(K58:N58)</f>
        <v>2048.2341174777848</v>
      </c>
      <c r="S58" s="153" t="s">
        <v>2</v>
      </c>
      <c r="T58" s="77">
        <f>(B108+B144)-K58</f>
        <v>15494.999999999993</v>
      </c>
      <c r="U58" s="77">
        <f t="shared" ref="U58:W58" si="81">(C108+C144)-L58</f>
        <v>-1691.8000000000029</v>
      </c>
      <c r="V58" s="77">
        <f t="shared" si="81"/>
        <v>11583.479999999996</v>
      </c>
      <c r="W58" s="77">
        <f t="shared" si="81"/>
        <v>11367.479999999996</v>
      </c>
      <c r="X58" s="166">
        <f t="shared" ref="X58:X69" si="82">AVERAGE(T58:W58)</f>
        <v>9188.5399999999954</v>
      </c>
      <c r="Y58" s="167">
        <f t="shared" ref="Y58:Y69" si="83">MAX(T58:W58)</f>
        <v>15494.999999999993</v>
      </c>
      <c r="Z58" s="167">
        <f t="shared" ref="Z58:Z69" si="84">MIN(T58:W58)</f>
        <v>-1691.8000000000029</v>
      </c>
      <c r="AC58" s="119" t="s">
        <v>2</v>
      </c>
      <c r="AD58" s="77">
        <f>-1*T58</f>
        <v>-15494.999999999993</v>
      </c>
      <c r="AE58" s="77">
        <f t="shared" ref="AE58:AG69" si="85">-1*U58</f>
        <v>1691.8000000000029</v>
      </c>
      <c r="AF58" s="77">
        <f t="shared" si="85"/>
        <v>-11583.479999999996</v>
      </c>
      <c r="AG58" s="77">
        <f t="shared" si="85"/>
        <v>-11367.479999999996</v>
      </c>
    </row>
    <row r="59" spans="1:33" x14ac:dyDescent="0.25">
      <c r="A59" s="119" t="s">
        <v>3</v>
      </c>
      <c r="B59" s="134">
        <f t="shared" si="76"/>
        <v>49127</v>
      </c>
      <c r="C59" s="134">
        <f t="shared" si="76"/>
        <v>49690</v>
      </c>
      <c r="D59" s="134">
        <f t="shared" si="76"/>
        <v>53775</v>
      </c>
      <c r="E59" s="134">
        <f t="shared" si="76"/>
        <v>57623</v>
      </c>
      <c r="J59" s="119" t="s">
        <v>3</v>
      </c>
      <c r="K59" s="134">
        <f t="shared" ref="K59:K69" si="86">B75+B92+B128</f>
        <v>26661</v>
      </c>
      <c r="L59" s="134">
        <f t="shared" ref="L59:L69" si="87">C75+C92+C128</f>
        <v>26091</v>
      </c>
      <c r="M59" s="134">
        <f t="shared" ref="M59:M69" si="88">D75+D92+D128</f>
        <v>28698</v>
      </c>
      <c r="N59" s="134">
        <f t="shared" ref="N59:N69" si="89">E75+E92+E128</f>
        <v>30819</v>
      </c>
      <c r="O59" s="127">
        <f t="shared" si="78"/>
        <v>28067.25</v>
      </c>
      <c r="P59" s="127">
        <f t="shared" si="79"/>
        <v>2148.8816277310389</v>
      </c>
      <c r="Q59" s="127">
        <f t="shared" si="80"/>
        <v>2148.8816277310389</v>
      </c>
      <c r="S59" s="153" t="s">
        <v>3</v>
      </c>
      <c r="T59" s="77">
        <f t="shared" ref="T59:T69" si="90">(B109+B145)-K59</f>
        <v>11985.679999999993</v>
      </c>
      <c r="U59" s="77">
        <f t="shared" ref="U59:U69" si="91">(C109+C145)-L59</f>
        <v>-332.04000000000087</v>
      </c>
      <c r="V59" s="77">
        <f t="shared" ref="V59:V69" si="92">(D109+D145)-M59</f>
        <v>1850.3600000000006</v>
      </c>
      <c r="W59" s="77">
        <f t="shared" ref="W59:W69" si="93">(E109+E145)-N59</f>
        <v>-99.319999999999709</v>
      </c>
      <c r="X59" s="166">
        <f t="shared" si="82"/>
        <v>3351.1699999999983</v>
      </c>
      <c r="Y59" s="167">
        <f t="shared" si="83"/>
        <v>11985.679999999993</v>
      </c>
      <c r="Z59" s="167">
        <f t="shared" si="84"/>
        <v>-332.04000000000087</v>
      </c>
      <c r="AC59" s="119" t="s">
        <v>3</v>
      </c>
      <c r="AD59" s="77">
        <f t="shared" ref="AD59:AD69" si="94">-1*T59</f>
        <v>-11985.679999999993</v>
      </c>
      <c r="AE59" s="77">
        <f t="shared" si="85"/>
        <v>332.04000000000087</v>
      </c>
      <c r="AF59" s="77">
        <f t="shared" si="85"/>
        <v>-1850.3600000000006</v>
      </c>
      <c r="AG59" s="77">
        <f t="shared" si="85"/>
        <v>99.319999999999709</v>
      </c>
    </row>
    <row r="60" spans="1:33" x14ac:dyDescent="0.25">
      <c r="A60" s="119" t="s">
        <v>4</v>
      </c>
      <c r="B60" s="134">
        <f t="shared" si="76"/>
        <v>54819</v>
      </c>
      <c r="C60" s="134">
        <f t="shared" si="76"/>
        <v>59056</v>
      </c>
      <c r="D60" s="134">
        <f t="shared" si="76"/>
        <v>61456</v>
      </c>
      <c r="E60" s="134">
        <f t="shared" si="76"/>
        <v>72552</v>
      </c>
      <c r="J60" s="119" t="s">
        <v>4</v>
      </c>
      <c r="K60" s="134">
        <f t="shared" si="86"/>
        <v>35433</v>
      </c>
      <c r="L60" s="134">
        <f t="shared" si="87"/>
        <v>31578</v>
      </c>
      <c r="M60" s="134">
        <f t="shared" si="88"/>
        <v>34086</v>
      </c>
      <c r="N60" s="134">
        <f t="shared" si="89"/>
        <v>71058</v>
      </c>
      <c r="O60" s="127">
        <f t="shared" si="78"/>
        <v>43038.75</v>
      </c>
      <c r="P60" s="127">
        <f t="shared" si="79"/>
        <v>18747.678316260924</v>
      </c>
      <c r="Q60" s="127">
        <f t="shared" si="80"/>
        <v>18747.678316260924</v>
      </c>
      <c r="S60" s="153" t="s">
        <v>4</v>
      </c>
      <c r="T60" s="77">
        <f t="shared" si="90"/>
        <v>8450.36</v>
      </c>
      <c r="U60" s="77">
        <f t="shared" si="91"/>
        <v>-6822.6400000000031</v>
      </c>
      <c r="V60" s="77">
        <f t="shared" si="92"/>
        <v>1410.4799999999959</v>
      </c>
      <c r="W60" s="77">
        <f t="shared" si="93"/>
        <v>-36878.639999999999</v>
      </c>
      <c r="X60" s="166">
        <f t="shared" si="82"/>
        <v>-8460.11</v>
      </c>
      <c r="Y60" s="167">
        <f t="shared" si="83"/>
        <v>8450.36</v>
      </c>
      <c r="Z60" s="167">
        <f t="shared" si="84"/>
        <v>-36878.639999999999</v>
      </c>
      <c r="AC60" s="119" t="s">
        <v>4</v>
      </c>
      <c r="AD60" s="77">
        <f t="shared" si="94"/>
        <v>-8450.36</v>
      </c>
      <c r="AE60" s="77">
        <f t="shared" si="85"/>
        <v>6822.6400000000031</v>
      </c>
      <c r="AF60" s="77">
        <f t="shared" si="85"/>
        <v>-1410.4799999999959</v>
      </c>
      <c r="AG60" s="77">
        <f t="shared" si="85"/>
        <v>36878.639999999999</v>
      </c>
    </row>
    <row r="61" spans="1:33" x14ac:dyDescent="0.25">
      <c r="A61" s="119" t="s">
        <v>5</v>
      </c>
      <c r="B61" s="134">
        <f t="shared" si="76"/>
        <v>61170</v>
      </c>
      <c r="C61" s="134">
        <f t="shared" si="76"/>
        <v>60979</v>
      </c>
      <c r="D61" s="134">
        <f t="shared" si="76"/>
        <v>63685</v>
      </c>
      <c r="E61" s="134">
        <f t="shared" si="76"/>
        <v>65690</v>
      </c>
      <c r="J61" s="119" t="s">
        <v>5</v>
      </c>
      <c r="K61" s="134">
        <f t="shared" si="86"/>
        <v>58407</v>
      </c>
      <c r="L61" s="134">
        <f t="shared" si="87"/>
        <v>58656</v>
      </c>
      <c r="M61" s="134">
        <f t="shared" si="88"/>
        <v>71862</v>
      </c>
      <c r="N61" s="134">
        <f t="shared" si="89"/>
        <v>91770</v>
      </c>
      <c r="O61" s="127">
        <f t="shared" si="78"/>
        <v>70173.75</v>
      </c>
      <c r="P61" s="127">
        <f t="shared" si="79"/>
        <v>15709.478802621046</v>
      </c>
      <c r="Q61" s="127">
        <f t="shared" si="80"/>
        <v>15709.478802621046</v>
      </c>
      <c r="S61" s="153" t="s">
        <v>5</v>
      </c>
      <c r="T61" s="77">
        <f t="shared" si="90"/>
        <v>31924.079999999987</v>
      </c>
      <c r="U61" s="77">
        <f t="shared" si="91"/>
        <v>24007.760000000009</v>
      </c>
      <c r="V61" s="77">
        <f t="shared" si="92"/>
        <v>39209.279999999984</v>
      </c>
      <c r="W61" s="77">
        <f t="shared" si="93"/>
        <v>4534.839999999982</v>
      </c>
      <c r="X61" s="166">
        <f t="shared" si="82"/>
        <v>24918.989999999991</v>
      </c>
      <c r="Y61" s="167">
        <f t="shared" si="83"/>
        <v>39209.279999999984</v>
      </c>
      <c r="Z61" s="167">
        <f t="shared" si="84"/>
        <v>4534.839999999982</v>
      </c>
      <c r="AC61" s="119" t="s">
        <v>5</v>
      </c>
      <c r="AD61" s="77">
        <f t="shared" si="94"/>
        <v>-31924.079999999987</v>
      </c>
      <c r="AE61" s="77">
        <f t="shared" si="85"/>
        <v>-24007.760000000009</v>
      </c>
      <c r="AF61" s="77">
        <f t="shared" si="85"/>
        <v>-39209.279999999984</v>
      </c>
      <c r="AG61" s="77">
        <f t="shared" si="85"/>
        <v>-4534.839999999982</v>
      </c>
    </row>
    <row r="62" spans="1:33" x14ac:dyDescent="0.25">
      <c r="A62" s="119" t="s">
        <v>6</v>
      </c>
      <c r="B62" s="134">
        <f t="shared" si="76"/>
        <v>57331</v>
      </c>
      <c r="C62" s="134">
        <f t="shared" si="76"/>
        <v>58033</v>
      </c>
      <c r="D62" s="134">
        <f t="shared" si="76"/>
        <v>64277</v>
      </c>
      <c r="E62" s="134">
        <f t="shared" si="76"/>
        <v>68925</v>
      </c>
      <c r="J62" s="119" t="s">
        <v>6</v>
      </c>
      <c r="K62" s="134">
        <f t="shared" si="86"/>
        <v>124869</v>
      </c>
      <c r="L62" s="134">
        <f t="shared" si="87"/>
        <v>113244</v>
      </c>
      <c r="M62" s="134">
        <f t="shared" si="88"/>
        <v>90927</v>
      </c>
      <c r="N62" s="134">
        <f t="shared" si="89"/>
        <v>108177</v>
      </c>
      <c r="O62" s="127">
        <f t="shared" si="78"/>
        <v>109304.25</v>
      </c>
      <c r="P62" s="127">
        <f t="shared" si="79"/>
        <v>14104.102036287173</v>
      </c>
      <c r="Q62" s="127">
        <f t="shared" si="80"/>
        <v>14104.102036287173</v>
      </c>
      <c r="S62" s="153" t="s">
        <v>6</v>
      </c>
      <c r="T62" s="77">
        <f t="shared" si="90"/>
        <v>-1614.6000000000058</v>
      </c>
      <c r="U62" s="77">
        <f t="shared" si="91"/>
        <v>7399.9999999999854</v>
      </c>
      <c r="V62" s="77">
        <f t="shared" si="92"/>
        <v>7147.4799999999814</v>
      </c>
      <c r="W62" s="77">
        <f t="shared" si="93"/>
        <v>-973.80000000000291</v>
      </c>
      <c r="X62" s="166">
        <f t="shared" si="82"/>
        <v>2989.7699999999895</v>
      </c>
      <c r="Y62" s="167">
        <f t="shared" si="83"/>
        <v>7399.9999999999854</v>
      </c>
      <c r="Z62" s="167">
        <f t="shared" si="84"/>
        <v>-1614.6000000000058</v>
      </c>
      <c r="AC62" s="119" t="s">
        <v>6</v>
      </c>
      <c r="AD62" s="77">
        <f t="shared" si="94"/>
        <v>1614.6000000000058</v>
      </c>
      <c r="AE62" s="77">
        <f t="shared" si="85"/>
        <v>-7399.9999999999854</v>
      </c>
      <c r="AF62" s="77">
        <f t="shared" si="85"/>
        <v>-7147.4799999999814</v>
      </c>
      <c r="AG62" s="77">
        <f t="shared" si="85"/>
        <v>973.80000000000291</v>
      </c>
    </row>
    <row r="63" spans="1:33" x14ac:dyDescent="0.25">
      <c r="A63" s="119" t="s">
        <v>7</v>
      </c>
      <c r="B63" s="134">
        <f t="shared" si="76"/>
        <v>63041</v>
      </c>
      <c r="C63" s="134">
        <f t="shared" si="76"/>
        <v>67168</v>
      </c>
      <c r="D63" s="134">
        <f t="shared" si="76"/>
        <v>66909</v>
      </c>
      <c r="E63" s="134">
        <f t="shared" si="76"/>
        <v>75069</v>
      </c>
      <c r="J63" s="119" t="s">
        <v>7</v>
      </c>
      <c r="K63" s="134">
        <f t="shared" si="86"/>
        <v>133977</v>
      </c>
      <c r="L63" s="134">
        <f t="shared" si="87"/>
        <v>119436</v>
      </c>
      <c r="M63" s="134">
        <f t="shared" si="88"/>
        <v>113826</v>
      </c>
      <c r="N63" s="134">
        <f t="shared" si="89"/>
        <v>163377</v>
      </c>
      <c r="O63" s="127">
        <f t="shared" si="78"/>
        <v>132654</v>
      </c>
      <c r="P63" s="127">
        <f t="shared" si="79"/>
        <v>22172.521778092811</v>
      </c>
      <c r="Q63" s="127">
        <f t="shared" si="80"/>
        <v>22172.521778092811</v>
      </c>
      <c r="S63" s="153" t="s">
        <v>7</v>
      </c>
      <c r="T63" s="77">
        <f t="shared" si="90"/>
        <v>9890.5199999999895</v>
      </c>
      <c r="U63" s="77">
        <f t="shared" si="91"/>
        <v>29153.919999999984</v>
      </c>
      <c r="V63" s="77">
        <f t="shared" si="92"/>
        <v>23168.799999999988</v>
      </c>
      <c r="W63" s="77">
        <f t="shared" si="93"/>
        <v>-36064.36</v>
      </c>
      <c r="X63" s="166">
        <f t="shared" si="82"/>
        <v>6537.2199999999903</v>
      </c>
      <c r="Y63" s="167">
        <f t="shared" si="83"/>
        <v>29153.919999999984</v>
      </c>
      <c r="Z63" s="167">
        <f t="shared" si="84"/>
        <v>-36064.36</v>
      </c>
      <c r="AC63" s="119" t="s">
        <v>7</v>
      </c>
      <c r="AD63" s="77">
        <f t="shared" si="94"/>
        <v>-9890.5199999999895</v>
      </c>
      <c r="AE63" s="77">
        <f t="shared" si="85"/>
        <v>-29153.919999999984</v>
      </c>
      <c r="AF63" s="77">
        <f t="shared" si="85"/>
        <v>-23168.799999999988</v>
      </c>
      <c r="AG63" s="77">
        <f t="shared" si="85"/>
        <v>36064.36</v>
      </c>
    </row>
    <row r="64" spans="1:33" x14ac:dyDescent="0.25">
      <c r="A64" s="119" t="s">
        <v>8</v>
      </c>
      <c r="B64" s="134">
        <f t="shared" si="76"/>
        <v>66346</v>
      </c>
      <c r="C64" s="134">
        <f t="shared" si="76"/>
        <v>68637</v>
      </c>
      <c r="D64" s="134">
        <f t="shared" si="76"/>
        <v>65218</v>
      </c>
      <c r="E64" s="134">
        <f t="shared" si="76"/>
        <v>70960</v>
      </c>
      <c r="J64" s="119" t="s">
        <v>8</v>
      </c>
      <c r="K64" s="134">
        <f t="shared" si="86"/>
        <v>177636</v>
      </c>
      <c r="L64" s="134">
        <f t="shared" si="87"/>
        <v>183951</v>
      </c>
      <c r="M64" s="134">
        <f t="shared" si="88"/>
        <v>189708</v>
      </c>
      <c r="N64" s="134">
        <f t="shared" si="89"/>
        <v>228204</v>
      </c>
      <c r="O64" s="127">
        <f t="shared" si="78"/>
        <v>194874.75</v>
      </c>
      <c r="P64" s="127">
        <f t="shared" si="79"/>
        <v>22759.884495532926</v>
      </c>
      <c r="Q64" s="127">
        <f t="shared" si="80"/>
        <v>22759.884495532926</v>
      </c>
      <c r="S64" s="153" t="s">
        <v>8</v>
      </c>
      <c r="T64" s="77">
        <f t="shared" si="90"/>
        <v>165.32000000000698</v>
      </c>
      <c r="U64" s="77">
        <f t="shared" si="91"/>
        <v>-23622.080000000016</v>
      </c>
      <c r="V64" s="77">
        <f t="shared" si="92"/>
        <v>-9793.320000000007</v>
      </c>
      <c r="W64" s="77">
        <f t="shared" si="93"/>
        <v>-46795.239999999991</v>
      </c>
      <c r="X64" s="166">
        <f t="shared" si="82"/>
        <v>-20011.330000000002</v>
      </c>
      <c r="Y64" s="167">
        <f t="shared" si="83"/>
        <v>165.32000000000698</v>
      </c>
      <c r="Z64" s="167">
        <f t="shared" si="84"/>
        <v>-46795.239999999991</v>
      </c>
      <c r="AC64" s="119" t="s">
        <v>8</v>
      </c>
      <c r="AD64" s="77">
        <f t="shared" si="94"/>
        <v>-165.32000000000698</v>
      </c>
      <c r="AE64" s="77">
        <f t="shared" si="85"/>
        <v>23622.080000000016</v>
      </c>
      <c r="AF64" s="77">
        <f t="shared" si="85"/>
        <v>9793.320000000007</v>
      </c>
      <c r="AG64" s="77">
        <f t="shared" si="85"/>
        <v>46795.239999999991</v>
      </c>
    </row>
    <row r="65" spans="1:33" x14ac:dyDescent="0.25">
      <c r="A65" s="119" t="s">
        <v>9</v>
      </c>
      <c r="B65" s="134">
        <f t="shared" si="76"/>
        <v>51711</v>
      </c>
      <c r="C65" s="134">
        <f t="shared" si="76"/>
        <v>54696</v>
      </c>
      <c r="D65" s="134">
        <f t="shared" si="76"/>
        <v>58369</v>
      </c>
      <c r="E65" s="134">
        <f t="shared" si="76"/>
        <v>65577</v>
      </c>
      <c r="J65" s="119" t="s">
        <v>9</v>
      </c>
      <c r="K65" s="134">
        <f t="shared" si="86"/>
        <v>266376</v>
      </c>
      <c r="L65" s="134">
        <f t="shared" si="87"/>
        <v>247182</v>
      </c>
      <c r="M65" s="134">
        <f t="shared" si="88"/>
        <v>225486</v>
      </c>
      <c r="N65" s="134">
        <f t="shared" si="89"/>
        <v>193659</v>
      </c>
      <c r="O65" s="127">
        <f t="shared" si="78"/>
        <v>233175.75</v>
      </c>
      <c r="P65" s="127">
        <f t="shared" si="79"/>
        <v>31193.682184859164</v>
      </c>
      <c r="Q65" s="127">
        <f t="shared" si="80"/>
        <v>31193.682184859164</v>
      </c>
      <c r="S65" s="153" t="s">
        <v>9</v>
      </c>
      <c r="T65" s="77">
        <f t="shared" si="90"/>
        <v>-59401.72</v>
      </c>
      <c r="U65" s="77">
        <f t="shared" si="91"/>
        <v>-69369.360000000015</v>
      </c>
      <c r="V65" s="77">
        <f t="shared" si="92"/>
        <v>-56663.960000000021</v>
      </c>
      <c r="W65" s="77">
        <f t="shared" si="93"/>
        <v>-3304.5999999999767</v>
      </c>
      <c r="X65" s="166">
        <f t="shared" si="82"/>
        <v>-47184.91</v>
      </c>
      <c r="Y65" s="167">
        <f t="shared" si="83"/>
        <v>-3304.5999999999767</v>
      </c>
      <c r="Z65" s="167">
        <f t="shared" si="84"/>
        <v>-69369.360000000015</v>
      </c>
      <c r="AC65" s="119" t="s">
        <v>9</v>
      </c>
      <c r="AD65" s="77">
        <f t="shared" si="94"/>
        <v>59401.72</v>
      </c>
      <c r="AE65" s="77">
        <f t="shared" si="85"/>
        <v>69369.360000000015</v>
      </c>
      <c r="AF65" s="77">
        <f t="shared" si="85"/>
        <v>56663.960000000021</v>
      </c>
      <c r="AG65" s="77">
        <f t="shared" si="85"/>
        <v>3304.5999999999767</v>
      </c>
    </row>
    <row r="66" spans="1:33" x14ac:dyDescent="0.25">
      <c r="A66" s="119" t="s">
        <v>10</v>
      </c>
      <c r="B66" s="134">
        <f t="shared" si="76"/>
        <v>54748</v>
      </c>
      <c r="C66" s="134">
        <f t="shared" si="76"/>
        <v>57922</v>
      </c>
      <c r="D66" s="134">
        <f t="shared" si="76"/>
        <v>59506</v>
      </c>
      <c r="E66" s="134">
        <f t="shared" si="76"/>
        <v>65798</v>
      </c>
      <c r="J66" s="119" t="s">
        <v>10</v>
      </c>
      <c r="K66" s="134">
        <f t="shared" si="86"/>
        <v>131349</v>
      </c>
      <c r="L66" s="134">
        <f t="shared" si="87"/>
        <v>149001</v>
      </c>
      <c r="M66" s="134">
        <f t="shared" si="88"/>
        <v>133959</v>
      </c>
      <c r="N66" s="134">
        <f t="shared" si="89"/>
        <v>96342</v>
      </c>
      <c r="O66" s="127">
        <f t="shared" si="78"/>
        <v>127662.75</v>
      </c>
      <c r="P66" s="127">
        <f t="shared" si="79"/>
        <v>22282.590339769748</v>
      </c>
      <c r="Q66" s="127">
        <f t="shared" si="80"/>
        <v>22282.590339769748</v>
      </c>
      <c r="S66" s="153" t="s">
        <v>10</v>
      </c>
      <c r="T66" s="77">
        <f t="shared" si="90"/>
        <v>-4699.2799999999988</v>
      </c>
      <c r="U66" s="77">
        <f t="shared" si="91"/>
        <v>-11749.839999999997</v>
      </c>
      <c r="V66" s="77">
        <f t="shared" si="92"/>
        <v>-429.48000000001048</v>
      </c>
      <c r="W66" s="77">
        <f t="shared" si="93"/>
        <v>32256.079999999973</v>
      </c>
      <c r="X66" s="166">
        <f t="shared" si="82"/>
        <v>3844.3699999999917</v>
      </c>
      <c r="Y66" s="167">
        <f t="shared" si="83"/>
        <v>32256.079999999973</v>
      </c>
      <c r="Z66" s="167">
        <f t="shared" si="84"/>
        <v>-11749.839999999997</v>
      </c>
      <c r="AC66" s="119" t="s">
        <v>10</v>
      </c>
      <c r="AD66" s="77">
        <f t="shared" si="94"/>
        <v>4699.2799999999988</v>
      </c>
      <c r="AE66" s="77">
        <f t="shared" si="85"/>
        <v>11749.839999999997</v>
      </c>
      <c r="AF66" s="77">
        <f t="shared" si="85"/>
        <v>429.48000000001048</v>
      </c>
      <c r="AG66" s="77">
        <f t="shared" si="85"/>
        <v>-32256.079999999973</v>
      </c>
    </row>
    <row r="67" spans="1:33" x14ac:dyDescent="0.25">
      <c r="A67" s="119" t="s">
        <v>11</v>
      </c>
      <c r="B67" s="134">
        <f t="shared" si="76"/>
        <v>60234</v>
      </c>
      <c r="C67" s="134">
        <f t="shared" si="76"/>
        <v>59335</v>
      </c>
      <c r="D67" s="134">
        <f t="shared" si="76"/>
        <v>57538</v>
      </c>
      <c r="E67" s="134">
        <f t="shared" si="76"/>
        <v>70918</v>
      </c>
      <c r="J67" s="119" t="s">
        <v>11</v>
      </c>
      <c r="K67" s="134">
        <f t="shared" si="86"/>
        <v>66696</v>
      </c>
      <c r="L67" s="134">
        <f t="shared" si="87"/>
        <v>81336</v>
      </c>
      <c r="M67" s="134">
        <f t="shared" si="88"/>
        <v>73488</v>
      </c>
      <c r="N67" s="134">
        <f t="shared" si="89"/>
        <v>21522</v>
      </c>
      <c r="O67" s="127">
        <f t="shared" si="78"/>
        <v>60760.5</v>
      </c>
      <c r="P67" s="127">
        <f t="shared" si="79"/>
        <v>26834.247390228778</v>
      </c>
      <c r="Q67" s="127">
        <f t="shared" si="80"/>
        <v>26834.247390228778</v>
      </c>
      <c r="S67" s="153" t="s">
        <v>11</v>
      </c>
      <c r="T67" s="77">
        <f t="shared" si="90"/>
        <v>11834.039999999994</v>
      </c>
      <c r="U67" s="77">
        <f t="shared" si="91"/>
        <v>3413.4400000000023</v>
      </c>
      <c r="V67" s="77">
        <f t="shared" si="92"/>
        <v>20125.760000000009</v>
      </c>
      <c r="W67" s="77">
        <f t="shared" si="93"/>
        <v>65078.759999999995</v>
      </c>
      <c r="X67" s="166">
        <f t="shared" si="82"/>
        <v>25113</v>
      </c>
      <c r="Y67" s="167">
        <f t="shared" si="83"/>
        <v>65078.759999999995</v>
      </c>
      <c r="Z67" s="167">
        <f t="shared" si="84"/>
        <v>3413.4400000000023</v>
      </c>
      <c r="AC67" s="119" t="s">
        <v>11</v>
      </c>
      <c r="AD67" s="77">
        <f t="shared" si="94"/>
        <v>-11834.039999999994</v>
      </c>
      <c r="AE67" s="77">
        <f t="shared" si="85"/>
        <v>-3413.4400000000023</v>
      </c>
      <c r="AF67" s="77">
        <f t="shared" si="85"/>
        <v>-20125.760000000009</v>
      </c>
      <c r="AG67" s="77">
        <f t="shared" si="85"/>
        <v>-65078.759999999995</v>
      </c>
    </row>
    <row r="68" spans="1:33" x14ac:dyDescent="0.25">
      <c r="A68" s="119" t="s">
        <v>12</v>
      </c>
      <c r="B68" s="134">
        <f t="shared" si="76"/>
        <v>49852</v>
      </c>
      <c r="C68" s="134">
        <f t="shared" si="76"/>
        <v>49795</v>
      </c>
      <c r="D68" s="134">
        <f t="shared" si="76"/>
        <v>56737</v>
      </c>
      <c r="E68" s="134"/>
      <c r="J68" s="119" t="s">
        <v>12</v>
      </c>
      <c r="K68" s="134">
        <f t="shared" si="86"/>
        <v>33540</v>
      </c>
      <c r="L68" s="134">
        <f t="shared" si="87"/>
        <v>31134</v>
      </c>
      <c r="M68" s="134">
        <f t="shared" si="88"/>
        <v>31623</v>
      </c>
      <c r="N68" s="134">
        <f t="shared" si="89"/>
        <v>0</v>
      </c>
      <c r="O68" s="127">
        <f t="shared" si="78"/>
        <v>24074.25</v>
      </c>
      <c r="P68" s="127">
        <f t="shared" si="79"/>
        <v>16083.051459533417</v>
      </c>
      <c r="Q68" s="127">
        <f t="shared" si="80"/>
        <v>16083.051459533417</v>
      </c>
      <c r="S68" s="153" t="s">
        <v>12</v>
      </c>
      <c r="T68" s="77">
        <f t="shared" si="90"/>
        <v>-5037.0800000000017</v>
      </c>
      <c r="U68" s="77">
        <f t="shared" si="91"/>
        <v>2258.3600000000006</v>
      </c>
      <c r="V68" s="77">
        <f t="shared" si="92"/>
        <v>2669.9199999999983</v>
      </c>
      <c r="W68" s="77">
        <f t="shared" si="93"/>
        <v>0</v>
      </c>
      <c r="X68" s="166">
        <f t="shared" si="82"/>
        <v>-27.200000000000728</v>
      </c>
      <c r="Y68" s="167">
        <f t="shared" si="83"/>
        <v>2669.9199999999983</v>
      </c>
      <c r="Z68" s="167">
        <f t="shared" si="84"/>
        <v>-5037.0800000000017</v>
      </c>
      <c r="AC68" s="119" t="s">
        <v>12</v>
      </c>
      <c r="AD68" s="77">
        <f t="shared" si="94"/>
        <v>5037.0800000000017</v>
      </c>
      <c r="AE68" s="77">
        <f t="shared" si="85"/>
        <v>-2258.3600000000006</v>
      </c>
      <c r="AF68" s="77">
        <f t="shared" si="85"/>
        <v>-2669.9199999999983</v>
      </c>
      <c r="AG68" s="77">
        <f t="shared" si="85"/>
        <v>0</v>
      </c>
    </row>
    <row r="69" spans="1:33" ht="15.75" thickBot="1" x14ac:dyDescent="0.3">
      <c r="A69" s="119" t="s">
        <v>13</v>
      </c>
      <c r="B69" s="134">
        <f t="shared" si="76"/>
        <v>48380</v>
      </c>
      <c r="C69" s="134">
        <f t="shared" si="76"/>
        <v>50039</v>
      </c>
      <c r="D69" s="134">
        <f t="shared" si="76"/>
        <v>53732</v>
      </c>
      <c r="E69" s="134"/>
      <c r="J69" s="119" t="s">
        <v>13</v>
      </c>
      <c r="K69" s="134">
        <f t="shared" si="86"/>
        <v>37029</v>
      </c>
      <c r="L69" s="134">
        <f t="shared" si="87"/>
        <v>37332</v>
      </c>
      <c r="M69" s="134">
        <f t="shared" si="88"/>
        <v>37470</v>
      </c>
      <c r="N69" s="134">
        <f t="shared" si="89"/>
        <v>0</v>
      </c>
      <c r="O69" s="127">
        <f t="shared" si="78"/>
        <v>27957.75</v>
      </c>
      <c r="P69" s="127">
        <f t="shared" si="79"/>
        <v>18639.410083208106</v>
      </c>
      <c r="Q69" s="127">
        <f t="shared" si="80"/>
        <v>18639.410083208106</v>
      </c>
      <c r="S69" s="168" t="s">
        <v>13</v>
      </c>
      <c r="T69" s="43">
        <f t="shared" si="90"/>
        <v>-9900.0800000000017</v>
      </c>
      <c r="U69" s="43">
        <f t="shared" si="91"/>
        <v>4081.5999999999985</v>
      </c>
      <c r="V69" s="43">
        <f t="shared" si="92"/>
        <v>-1806.0800000000017</v>
      </c>
      <c r="W69" s="43">
        <f t="shared" si="93"/>
        <v>0</v>
      </c>
      <c r="X69" s="166">
        <f t="shared" si="82"/>
        <v>-1906.1400000000012</v>
      </c>
      <c r="Y69" s="167">
        <f t="shared" si="83"/>
        <v>4081.5999999999985</v>
      </c>
      <c r="Z69" s="167">
        <f t="shared" si="84"/>
        <v>-9900.0800000000017</v>
      </c>
      <c r="AC69" s="139" t="s">
        <v>13</v>
      </c>
      <c r="AD69" s="77">
        <f t="shared" si="94"/>
        <v>9900.0800000000017</v>
      </c>
      <c r="AE69" s="77">
        <f t="shared" si="85"/>
        <v>-4081.5999999999985</v>
      </c>
      <c r="AF69" s="77">
        <f t="shared" si="85"/>
        <v>1806.0800000000017</v>
      </c>
      <c r="AG69" s="77">
        <f t="shared" si="85"/>
        <v>0</v>
      </c>
    </row>
    <row r="70" spans="1:33" ht="16.5" thickTop="1" thickBot="1" x14ac:dyDescent="0.3">
      <c r="A70" s="128" t="s">
        <v>0</v>
      </c>
      <c r="B70" s="129">
        <f>SUM(B58:B69)</f>
        <v>669048</v>
      </c>
      <c r="C70" s="129">
        <f t="shared" ref="C70:D70" si="95">SUM(C58:C69)</f>
        <v>686153</v>
      </c>
      <c r="D70" s="129">
        <f t="shared" si="95"/>
        <v>713342</v>
      </c>
      <c r="E70" s="129">
        <f>SUM(E58:E69)</f>
        <v>671994</v>
      </c>
      <c r="J70" s="128" t="s">
        <v>0</v>
      </c>
      <c r="K70" s="129">
        <f t="shared" ref="K70:M70" si="96">SUM(K58:K69)</f>
        <v>1121385</v>
      </c>
      <c r="L70" s="129">
        <f t="shared" si="96"/>
        <v>1109583</v>
      </c>
      <c r="M70" s="129">
        <f t="shared" si="96"/>
        <v>1061046</v>
      </c>
      <c r="N70" s="129">
        <f>SUM(N58:N69)</f>
        <v>1030947</v>
      </c>
      <c r="S70" s="169" t="s">
        <v>0</v>
      </c>
      <c r="T70" s="170">
        <f>SUM(T58:T69)</f>
        <v>9092.239999999947</v>
      </c>
      <c r="U70" s="170">
        <f>SUM(U58:U69)</f>
        <v>-43272.680000000058</v>
      </c>
      <c r="V70" s="170">
        <f>SUM(V58:V69)</f>
        <v>38472.719999999914</v>
      </c>
      <c r="W70" s="170">
        <f>SUM(W58:W69)</f>
        <v>-10878.800000000017</v>
      </c>
      <c r="X70" s="148"/>
      <c r="Y70" s="148"/>
      <c r="Z70" s="148"/>
      <c r="AC70" s="138" t="s">
        <v>0</v>
      </c>
      <c r="AD70" s="170">
        <f>SUM(AD58:AD69)</f>
        <v>-9092.239999999947</v>
      </c>
      <c r="AE70" s="170">
        <f>SUM(AE58:AE69)</f>
        <v>43272.680000000058</v>
      </c>
      <c r="AF70" s="170">
        <f>SUM(AF58:AF69)</f>
        <v>-38472.719999999914</v>
      </c>
      <c r="AG70" s="170">
        <f>SUM(AG58:AG69)</f>
        <v>10878.800000000017</v>
      </c>
    </row>
    <row r="71" spans="1:33" ht="16.5" thickTop="1" thickBot="1" x14ac:dyDescent="0.3">
      <c r="J71" s="136" t="s">
        <v>14</v>
      </c>
      <c r="K71" s="136"/>
      <c r="L71" s="136"/>
      <c r="M71" s="136"/>
      <c r="N71" s="136"/>
      <c r="O71" s="136"/>
      <c r="P71" s="136"/>
      <c r="Q71" s="136"/>
    </row>
    <row r="72" spans="1:33" ht="17.25" thickTop="1" thickBot="1" x14ac:dyDescent="0.3">
      <c r="A72" s="140" t="s">
        <v>168</v>
      </c>
      <c r="B72" s="141"/>
      <c r="C72" s="141"/>
      <c r="D72" s="141"/>
      <c r="E72" s="141"/>
      <c r="F72" s="142"/>
      <c r="J72" s="140" t="s">
        <v>173</v>
      </c>
      <c r="K72" s="141"/>
      <c r="L72" s="141"/>
      <c r="M72" s="141"/>
      <c r="N72" s="141"/>
      <c r="O72" s="142"/>
      <c r="S72" s="149" t="s">
        <v>174</v>
      </c>
      <c r="T72" s="164"/>
      <c r="U72" s="164"/>
      <c r="V72" s="164"/>
      <c r="W72" s="164"/>
      <c r="X72" s="150"/>
      <c r="Y72" s="148"/>
      <c r="Z72" s="148"/>
      <c r="AC72" s="140" t="s">
        <v>242</v>
      </c>
      <c r="AD72" s="141"/>
      <c r="AE72" s="141"/>
      <c r="AF72" s="141"/>
      <c r="AG72" s="141"/>
    </row>
    <row r="73" spans="1:33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  <c r="J73" s="124"/>
      <c r="K73" s="125">
        <v>2014</v>
      </c>
      <c r="L73" s="125">
        <v>2015</v>
      </c>
      <c r="M73" s="125">
        <v>2016</v>
      </c>
      <c r="N73" s="125">
        <v>2017</v>
      </c>
      <c r="O73" s="126" t="s">
        <v>1</v>
      </c>
      <c r="P73" s="117" t="s">
        <v>18</v>
      </c>
      <c r="Q73" s="117" t="s">
        <v>17</v>
      </c>
      <c r="S73" s="151"/>
      <c r="T73" s="147">
        <v>2014</v>
      </c>
      <c r="U73" s="147">
        <v>2015</v>
      </c>
      <c r="V73" s="147">
        <v>2016</v>
      </c>
      <c r="W73" s="147">
        <v>2017</v>
      </c>
      <c r="X73" s="152" t="s">
        <v>1</v>
      </c>
      <c r="Y73" s="165" t="s">
        <v>18</v>
      </c>
      <c r="Z73" s="165" t="s">
        <v>17</v>
      </c>
      <c r="AC73" s="124"/>
      <c r="AD73" s="125">
        <v>2014</v>
      </c>
      <c r="AE73" s="125">
        <v>2015</v>
      </c>
      <c r="AF73" s="125">
        <v>2016</v>
      </c>
      <c r="AG73" s="125">
        <v>2017</v>
      </c>
    </row>
    <row r="74" spans="1:33" x14ac:dyDescent="0.25">
      <c r="A74" s="119" t="s">
        <v>2</v>
      </c>
      <c r="B74" s="134">
        <f>K107*Générale!$B$4</f>
        <v>22668</v>
      </c>
      <c r="C74" s="134">
        <f>L107*Générale!$B$4</f>
        <v>17856</v>
      </c>
      <c r="D74" s="134">
        <f>M107*Générale!$B$4</f>
        <v>20340</v>
      </c>
      <c r="E74" s="134">
        <f>N107*Générale!$B$4</f>
        <v>14865</v>
      </c>
      <c r="J74" s="119" t="s">
        <v>2</v>
      </c>
      <c r="K74" s="134">
        <f>B58</f>
        <v>52289</v>
      </c>
      <c r="L74" s="134">
        <f t="shared" ref="L74:N85" si="97">C58</f>
        <v>50803</v>
      </c>
      <c r="M74" s="134">
        <f t="shared" si="97"/>
        <v>52140</v>
      </c>
      <c r="N74" s="134">
        <f t="shared" si="97"/>
        <v>58882</v>
      </c>
      <c r="O74" s="127">
        <f t="shared" ref="O74:O85" si="98">AVERAGE(K74:N74)</f>
        <v>53528.5</v>
      </c>
      <c r="P74" s="127">
        <f t="shared" ref="P74:P85" si="99">STDEVA(K74:N74)</f>
        <v>3631.00559992224</v>
      </c>
      <c r="Q74" s="127">
        <f t="shared" ref="Q74:Q85" si="100">STDEVA(K74:N74)</f>
        <v>3631.00559992224</v>
      </c>
      <c r="S74" s="153" t="s">
        <v>2</v>
      </c>
      <c r="T74" s="77">
        <f>B3-K74</f>
        <v>-26001</v>
      </c>
      <c r="U74" s="77">
        <f t="shared" ref="U74:W85" si="101">C3-L74</f>
        <v>-26893.4</v>
      </c>
      <c r="V74" s="77">
        <f t="shared" si="101"/>
        <v>-27551.199999999997</v>
      </c>
      <c r="W74" s="77">
        <f t="shared" si="101"/>
        <v>-35134.800000000003</v>
      </c>
      <c r="X74" s="166">
        <f t="shared" ref="X74:X85" si="102">AVERAGE(T74:W74)</f>
        <v>-28895.100000000002</v>
      </c>
      <c r="Y74" s="167">
        <f t="shared" ref="Y74:Y85" si="103">MAX(T74:W74)</f>
        <v>-26001</v>
      </c>
      <c r="Z74" s="167">
        <f t="shared" ref="Z74:Z85" si="104">MIN(T74:W74)</f>
        <v>-35134.800000000003</v>
      </c>
      <c r="AC74" s="119" t="s">
        <v>2</v>
      </c>
      <c r="AD74" s="77">
        <f>-1*T74</f>
        <v>26001</v>
      </c>
      <c r="AE74" s="77">
        <f t="shared" ref="AE74:AG85" si="105">-1*U74</f>
        <v>26893.4</v>
      </c>
      <c r="AF74" s="77">
        <f t="shared" si="105"/>
        <v>27551.199999999997</v>
      </c>
      <c r="AG74" s="77">
        <f t="shared" si="105"/>
        <v>35134.800000000003</v>
      </c>
    </row>
    <row r="75" spans="1:33" x14ac:dyDescent="0.25">
      <c r="A75" s="119" t="s">
        <v>3</v>
      </c>
      <c r="B75" s="134">
        <f>K108*Générale!$B$4</f>
        <v>10431</v>
      </c>
      <c r="C75" s="134">
        <f>L108*Générale!$B$4</f>
        <v>16383</v>
      </c>
      <c r="D75" s="134">
        <f>M108*Générale!$B$4</f>
        <v>17406</v>
      </c>
      <c r="E75" s="134">
        <f>N108*Générale!$B$4</f>
        <v>18402</v>
      </c>
      <c r="J75" s="119" t="s">
        <v>3</v>
      </c>
      <c r="K75" s="134">
        <f t="shared" ref="K75:K85" si="106">B59</f>
        <v>49127</v>
      </c>
      <c r="L75" s="134">
        <f t="shared" si="97"/>
        <v>49690</v>
      </c>
      <c r="M75" s="134">
        <f t="shared" si="97"/>
        <v>53775</v>
      </c>
      <c r="N75" s="134">
        <f t="shared" si="97"/>
        <v>57623</v>
      </c>
      <c r="O75" s="127">
        <f t="shared" si="98"/>
        <v>52553.75</v>
      </c>
      <c r="P75" s="127">
        <f t="shared" si="99"/>
        <v>3963.6862787898167</v>
      </c>
      <c r="Q75" s="127">
        <f t="shared" si="100"/>
        <v>3963.6862787898167</v>
      </c>
      <c r="S75" s="153" t="s">
        <v>3</v>
      </c>
      <c r="T75" s="77">
        <f t="shared" ref="T75:T85" si="107">B4-K75</f>
        <v>-29531.8</v>
      </c>
      <c r="U75" s="77">
        <f t="shared" si="101"/>
        <v>-28885.199999999997</v>
      </c>
      <c r="V75" s="77">
        <f t="shared" si="101"/>
        <v>-29631.800000000003</v>
      </c>
      <c r="W75" s="77">
        <f t="shared" si="101"/>
        <v>-37110.199999999997</v>
      </c>
      <c r="X75" s="166">
        <f t="shared" si="102"/>
        <v>-31289.75</v>
      </c>
      <c r="Y75" s="167">
        <f t="shared" si="103"/>
        <v>-28885.199999999997</v>
      </c>
      <c r="Z75" s="167">
        <f t="shared" si="104"/>
        <v>-37110.199999999997</v>
      </c>
      <c r="AC75" s="119" t="s">
        <v>3</v>
      </c>
      <c r="AD75" s="77">
        <f t="shared" ref="AD75:AD85" si="108">-1*T75</f>
        <v>29531.8</v>
      </c>
      <c r="AE75" s="77">
        <f t="shared" si="105"/>
        <v>28885.199999999997</v>
      </c>
      <c r="AF75" s="77">
        <f t="shared" si="105"/>
        <v>29631.800000000003</v>
      </c>
      <c r="AG75" s="77">
        <f t="shared" si="105"/>
        <v>37110.199999999997</v>
      </c>
    </row>
    <row r="76" spans="1:33" x14ac:dyDescent="0.25">
      <c r="A76" s="119" t="s">
        <v>4</v>
      </c>
      <c r="B76" s="134">
        <f>K109*Générale!$B$4</f>
        <v>14292</v>
      </c>
      <c r="C76" s="134">
        <f>L109*Générale!$B$4</f>
        <v>19260</v>
      </c>
      <c r="D76" s="134">
        <f>M109*Générale!$B$4</f>
        <v>20622</v>
      </c>
      <c r="E76" s="134">
        <f>N109*Générale!$B$4</f>
        <v>56682</v>
      </c>
      <c r="J76" s="119" t="s">
        <v>4</v>
      </c>
      <c r="K76" s="134">
        <f t="shared" si="106"/>
        <v>54819</v>
      </c>
      <c r="L76" s="134">
        <f t="shared" si="97"/>
        <v>59056</v>
      </c>
      <c r="M76" s="134">
        <f t="shared" si="97"/>
        <v>61456</v>
      </c>
      <c r="N76" s="134">
        <f t="shared" si="97"/>
        <v>72552</v>
      </c>
      <c r="O76" s="127">
        <f t="shared" si="98"/>
        <v>61970.75</v>
      </c>
      <c r="P76" s="127">
        <f t="shared" si="99"/>
        <v>7569.0403343708858</v>
      </c>
      <c r="Q76" s="127">
        <f t="shared" si="100"/>
        <v>7569.0403343708858</v>
      </c>
      <c r="S76" s="153" t="s">
        <v>4</v>
      </c>
      <c r="T76" s="77">
        <f t="shared" si="107"/>
        <v>-33282.199999999997</v>
      </c>
      <c r="U76" s="77">
        <f t="shared" si="101"/>
        <v>-36541.199999999997</v>
      </c>
      <c r="V76" s="77">
        <f t="shared" si="101"/>
        <v>-35346</v>
      </c>
      <c r="W76" s="77">
        <f t="shared" si="101"/>
        <v>-50253.2</v>
      </c>
      <c r="X76" s="166">
        <f t="shared" si="102"/>
        <v>-38855.649999999994</v>
      </c>
      <c r="Y76" s="167">
        <f t="shared" si="103"/>
        <v>-33282.199999999997</v>
      </c>
      <c r="Z76" s="167">
        <f t="shared" si="104"/>
        <v>-50253.2</v>
      </c>
      <c r="AC76" s="119" t="s">
        <v>4</v>
      </c>
      <c r="AD76" s="77">
        <f t="shared" si="108"/>
        <v>33282.199999999997</v>
      </c>
      <c r="AE76" s="77">
        <f t="shared" si="105"/>
        <v>36541.199999999997</v>
      </c>
      <c r="AF76" s="77">
        <f t="shared" si="105"/>
        <v>35346</v>
      </c>
      <c r="AG76" s="77">
        <f t="shared" si="105"/>
        <v>50253.2</v>
      </c>
    </row>
    <row r="77" spans="1:33" x14ac:dyDescent="0.25">
      <c r="A77" s="119" t="s">
        <v>5</v>
      </c>
      <c r="B77" s="134">
        <f>K110*Générale!$B$4</f>
        <v>35211</v>
      </c>
      <c r="C77" s="134">
        <f>L110*Générale!$B$4</f>
        <v>42429</v>
      </c>
      <c r="D77" s="134">
        <f>M110*Générale!$B$4</f>
        <v>50409</v>
      </c>
      <c r="E77" s="134">
        <f>N110*Générale!$B$4</f>
        <v>67317</v>
      </c>
      <c r="J77" s="119" t="s">
        <v>5</v>
      </c>
      <c r="K77" s="134">
        <f t="shared" si="106"/>
        <v>61170</v>
      </c>
      <c r="L77" s="134">
        <f t="shared" si="97"/>
        <v>60979</v>
      </c>
      <c r="M77" s="134">
        <f t="shared" si="97"/>
        <v>63685</v>
      </c>
      <c r="N77" s="134">
        <f t="shared" si="97"/>
        <v>65690</v>
      </c>
      <c r="O77" s="127">
        <f t="shared" si="98"/>
        <v>62881</v>
      </c>
      <c r="P77" s="127">
        <f t="shared" si="99"/>
        <v>2242.1732017546428</v>
      </c>
      <c r="Q77" s="127">
        <f t="shared" si="100"/>
        <v>2242.1732017546428</v>
      </c>
      <c r="S77" s="153" t="s">
        <v>5</v>
      </c>
      <c r="T77" s="77">
        <f t="shared" si="107"/>
        <v>-28346</v>
      </c>
      <c r="U77" s="77">
        <f t="shared" si="101"/>
        <v>-25065</v>
      </c>
      <c r="V77" s="77">
        <f t="shared" si="101"/>
        <v>-28339.800000000003</v>
      </c>
      <c r="W77" s="77">
        <f t="shared" si="101"/>
        <v>-27530</v>
      </c>
      <c r="X77" s="166">
        <f t="shared" si="102"/>
        <v>-27320.2</v>
      </c>
      <c r="Y77" s="167">
        <f t="shared" si="103"/>
        <v>-25065</v>
      </c>
      <c r="Z77" s="167">
        <f t="shared" si="104"/>
        <v>-28346</v>
      </c>
      <c r="AC77" s="119" t="s">
        <v>5</v>
      </c>
      <c r="AD77" s="77">
        <f t="shared" si="108"/>
        <v>28346</v>
      </c>
      <c r="AE77" s="77">
        <f t="shared" si="105"/>
        <v>25065</v>
      </c>
      <c r="AF77" s="77">
        <f t="shared" si="105"/>
        <v>28339.800000000003</v>
      </c>
      <c r="AG77" s="77">
        <f t="shared" si="105"/>
        <v>27530</v>
      </c>
    </row>
    <row r="78" spans="1:33" x14ac:dyDescent="0.25">
      <c r="A78" s="119" t="s">
        <v>6</v>
      </c>
      <c r="B78" s="134">
        <f>K111*Générale!$B$4</f>
        <v>83679</v>
      </c>
      <c r="C78" s="134">
        <f>L111*Générale!$B$4</f>
        <v>83385</v>
      </c>
      <c r="D78" s="134">
        <f>M111*Générale!$B$4</f>
        <v>68964</v>
      </c>
      <c r="E78" s="134">
        <f>N111*Générale!$B$4</f>
        <v>86427</v>
      </c>
      <c r="J78" s="119" t="s">
        <v>6</v>
      </c>
      <c r="K78" s="134">
        <f t="shared" si="106"/>
        <v>57331</v>
      </c>
      <c r="L78" s="134">
        <f t="shared" si="97"/>
        <v>58033</v>
      </c>
      <c r="M78" s="134">
        <f t="shared" si="97"/>
        <v>64277</v>
      </c>
      <c r="N78" s="134">
        <f t="shared" si="97"/>
        <v>68925</v>
      </c>
      <c r="O78" s="127">
        <f t="shared" si="98"/>
        <v>62141.5</v>
      </c>
      <c r="P78" s="127">
        <f t="shared" si="99"/>
        <v>5495.359102612555</v>
      </c>
      <c r="Q78" s="127">
        <f t="shared" si="100"/>
        <v>5495.359102612555</v>
      </c>
      <c r="S78" s="153" t="s">
        <v>6</v>
      </c>
      <c r="T78" s="77">
        <f t="shared" si="107"/>
        <v>-28991.32</v>
      </c>
      <c r="U78" s="77">
        <f t="shared" si="101"/>
        <v>-33261.64</v>
      </c>
      <c r="V78" s="77">
        <f t="shared" si="101"/>
        <v>-45707.96</v>
      </c>
      <c r="W78" s="77">
        <f t="shared" si="101"/>
        <v>-48652.68</v>
      </c>
      <c r="X78" s="166">
        <f t="shared" si="102"/>
        <v>-39153.4</v>
      </c>
      <c r="Y78" s="167">
        <f t="shared" si="103"/>
        <v>-28991.32</v>
      </c>
      <c r="Z78" s="167">
        <f t="shared" si="104"/>
        <v>-48652.68</v>
      </c>
      <c r="AC78" s="119" t="s">
        <v>6</v>
      </c>
      <c r="AD78" s="77">
        <f t="shared" si="108"/>
        <v>28991.32</v>
      </c>
      <c r="AE78" s="77">
        <f t="shared" si="105"/>
        <v>33261.64</v>
      </c>
      <c r="AF78" s="77">
        <f t="shared" si="105"/>
        <v>45707.96</v>
      </c>
      <c r="AG78" s="77">
        <f t="shared" si="105"/>
        <v>48652.68</v>
      </c>
    </row>
    <row r="79" spans="1:33" x14ac:dyDescent="0.25">
      <c r="A79" s="119" t="s">
        <v>7</v>
      </c>
      <c r="B79" s="134">
        <f>K112*Générale!$B$4</f>
        <v>91155</v>
      </c>
      <c r="C79" s="134">
        <f>L112*Générale!$B$4</f>
        <v>85734</v>
      </c>
      <c r="D79" s="134">
        <f>M112*Générale!$B$4</f>
        <v>80400</v>
      </c>
      <c r="E79" s="134">
        <f>N112*Générale!$B$4</f>
        <v>132237</v>
      </c>
      <c r="J79" s="119" t="s">
        <v>7</v>
      </c>
      <c r="K79" s="134">
        <f t="shared" si="106"/>
        <v>63041</v>
      </c>
      <c r="L79" s="134">
        <f t="shared" si="97"/>
        <v>67168</v>
      </c>
      <c r="M79" s="134">
        <f t="shared" si="97"/>
        <v>66909</v>
      </c>
      <c r="N79" s="134">
        <f t="shared" si="97"/>
        <v>75069</v>
      </c>
      <c r="O79" s="127">
        <f t="shared" si="98"/>
        <v>68046.75</v>
      </c>
      <c r="P79" s="127">
        <f t="shared" si="99"/>
        <v>5047.6464730274711</v>
      </c>
      <c r="Q79" s="127">
        <f t="shared" si="100"/>
        <v>5047.6464730274711</v>
      </c>
      <c r="S79" s="153" t="s">
        <v>7</v>
      </c>
      <c r="T79" s="77">
        <f t="shared" si="107"/>
        <v>-36976.520000000004</v>
      </c>
      <c r="U79" s="77">
        <f t="shared" si="101"/>
        <v>-40515.520000000004</v>
      </c>
      <c r="V79" s="77">
        <f t="shared" si="101"/>
        <v>-43572.6</v>
      </c>
      <c r="W79" s="77">
        <f t="shared" si="101"/>
        <v>-53497.8</v>
      </c>
      <c r="X79" s="166">
        <f t="shared" si="102"/>
        <v>-43640.61</v>
      </c>
      <c r="Y79" s="167">
        <f t="shared" si="103"/>
        <v>-36976.520000000004</v>
      </c>
      <c r="Z79" s="167">
        <f t="shared" si="104"/>
        <v>-53497.8</v>
      </c>
      <c r="AC79" s="119" t="s">
        <v>7</v>
      </c>
      <c r="AD79" s="77">
        <f t="shared" si="108"/>
        <v>36976.520000000004</v>
      </c>
      <c r="AE79" s="77">
        <f t="shared" si="105"/>
        <v>40515.520000000004</v>
      </c>
      <c r="AF79" s="77">
        <f t="shared" si="105"/>
        <v>43572.6</v>
      </c>
      <c r="AG79" s="77">
        <f t="shared" si="105"/>
        <v>53497.8</v>
      </c>
    </row>
    <row r="80" spans="1:33" x14ac:dyDescent="0.25">
      <c r="A80" s="119" t="s">
        <v>8</v>
      </c>
      <c r="B80" s="134">
        <f>K113*Générale!$B$4</f>
        <v>119256</v>
      </c>
      <c r="C80" s="134">
        <f>L113*Générale!$B$4</f>
        <v>122799</v>
      </c>
      <c r="D80" s="134">
        <f>M113*Générale!$B$4</f>
        <v>121128</v>
      </c>
      <c r="E80" s="134">
        <f>N113*Générale!$B$4</f>
        <v>153552</v>
      </c>
      <c r="J80" s="119" t="s">
        <v>8</v>
      </c>
      <c r="K80" s="134">
        <f t="shared" si="106"/>
        <v>66346</v>
      </c>
      <c r="L80" s="134">
        <f t="shared" si="97"/>
        <v>68637</v>
      </c>
      <c r="M80" s="134">
        <f t="shared" si="97"/>
        <v>65218</v>
      </c>
      <c r="N80" s="134">
        <f t="shared" si="97"/>
        <v>70960</v>
      </c>
      <c r="O80" s="127">
        <f t="shared" si="98"/>
        <v>67790.25</v>
      </c>
      <c r="P80" s="127">
        <f t="shared" si="99"/>
        <v>2547.3272757931991</v>
      </c>
      <c r="Q80" s="127">
        <f t="shared" si="100"/>
        <v>2547.3272757931991</v>
      </c>
      <c r="S80" s="153" t="s">
        <v>8</v>
      </c>
      <c r="T80" s="77">
        <f t="shared" si="107"/>
        <v>-40289.199999999997</v>
      </c>
      <c r="U80" s="77">
        <f t="shared" si="101"/>
        <v>-43534.68</v>
      </c>
      <c r="V80" s="77">
        <f t="shared" si="101"/>
        <v>-36382.239999999998</v>
      </c>
      <c r="W80" s="77">
        <f t="shared" si="101"/>
        <v>-41544.160000000003</v>
      </c>
      <c r="X80" s="166">
        <f t="shared" si="102"/>
        <v>-40437.57</v>
      </c>
      <c r="Y80" s="167">
        <f t="shared" si="103"/>
        <v>-36382.239999999998</v>
      </c>
      <c r="Z80" s="167">
        <f t="shared" si="104"/>
        <v>-43534.68</v>
      </c>
      <c r="AC80" s="119" t="s">
        <v>8</v>
      </c>
      <c r="AD80" s="77">
        <f t="shared" si="108"/>
        <v>40289.199999999997</v>
      </c>
      <c r="AE80" s="77">
        <f t="shared" si="105"/>
        <v>43534.68</v>
      </c>
      <c r="AF80" s="77">
        <f t="shared" si="105"/>
        <v>36382.239999999998</v>
      </c>
      <c r="AG80" s="77">
        <f t="shared" si="105"/>
        <v>41544.160000000003</v>
      </c>
    </row>
    <row r="81" spans="1:33" x14ac:dyDescent="0.25">
      <c r="A81" s="119" t="s">
        <v>9</v>
      </c>
      <c r="B81" s="134">
        <f>K114*Générale!$B$4</f>
        <v>140622</v>
      </c>
      <c r="C81" s="134">
        <f>L114*Générale!$B$4</f>
        <v>156618</v>
      </c>
      <c r="D81" s="134">
        <f>M114*Générale!$B$4</f>
        <v>154116</v>
      </c>
      <c r="E81" s="134">
        <f>N114*Générale!$B$4</f>
        <v>98514</v>
      </c>
      <c r="J81" s="119" t="s">
        <v>9</v>
      </c>
      <c r="K81" s="134">
        <f t="shared" si="106"/>
        <v>51711</v>
      </c>
      <c r="L81" s="134">
        <f t="shared" si="97"/>
        <v>54696</v>
      </c>
      <c r="M81" s="134">
        <f t="shared" si="97"/>
        <v>58369</v>
      </c>
      <c r="N81" s="134">
        <f t="shared" si="97"/>
        <v>65577</v>
      </c>
      <c r="O81" s="127">
        <f t="shared" si="98"/>
        <v>57588.25</v>
      </c>
      <c r="P81" s="127">
        <f t="shared" si="99"/>
        <v>5981.5514918790095</v>
      </c>
      <c r="Q81" s="127">
        <f t="shared" si="100"/>
        <v>5981.5514918790095</v>
      </c>
      <c r="S81" s="153" t="s">
        <v>9</v>
      </c>
      <c r="T81" s="77">
        <f t="shared" si="107"/>
        <v>-26101.56</v>
      </c>
      <c r="U81" s="77">
        <f t="shared" si="101"/>
        <v>-28613.280000000002</v>
      </c>
      <c r="V81" s="77">
        <f t="shared" si="101"/>
        <v>-29100.760000000002</v>
      </c>
      <c r="W81" s="77">
        <f t="shared" si="101"/>
        <v>-31727.880000000005</v>
      </c>
      <c r="X81" s="166">
        <f t="shared" si="102"/>
        <v>-28885.870000000003</v>
      </c>
      <c r="Y81" s="167">
        <f t="shared" si="103"/>
        <v>-26101.56</v>
      </c>
      <c r="Z81" s="167">
        <f t="shared" si="104"/>
        <v>-31727.880000000005</v>
      </c>
      <c r="AC81" s="119" t="s">
        <v>9</v>
      </c>
      <c r="AD81" s="77">
        <f t="shared" si="108"/>
        <v>26101.56</v>
      </c>
      <c r="AE81" s="77">
        <f t="shared" si="105"/>
        <v>28613.280000000002</v>
      </c>
      <c r="AF81" s="77">
        <f t="shared" si="105"/>
        <v>29100.760000000002</v>
      </c>
      <c r="AG81" s="77">
        <f t="shared" si="105"/>
        <v>31727.880000000005</v>
      </c>
    </row>
    <row r="82" spans="1:33" x14ac:dyDescent="0.25">
      <c r="A82" s="119" t="s">
        <v>10</v>
      </c>
      <c r="B82" s="134">
        <f>K115*Générale!$B$4</f>
        <v>91167</v>
      </c>
      <c r="C82" s="134">
        <f>L115*Générale!$B$4</f>
        <v>107253</v>
      </c>
      <c r="D82" s="134">
        <f>M115*Générale!$B$4</f>
        <v>96303</v>
      </c>
      <c r="E82" s="134">
        <f>N115*Générale!$B$4</f>
        <v>55128</v>
      </c>
      <c r="J82" s="119" t="s">
        <v>10</v>
      </c>
      <c r="K82" s="134">
        <f t="shared" si="106"/>
        <v>54748</v>
      </c>
      <c r="L82" s="134">
        <f t="shared" si="97"/>
        <v>57922</v>
      </c>
      <c r="M82" s="134">
        <f t="shared" si="97"/>
        <v>59506</v>
      </c>
      <c r="N82" s="134">
        <f t="shared" si="97"/>
        <v>65798</v>
      </c>
      <c r="O82" s="127">
        <f t="shared" si="98"/>
        <v>59493.5</v>
      </c>
      <c r="P82" s="127">
        <f t="shared" si="99"/>
        <v>4645.2936398036236</v>
      </c>
      <c r="Q82" s="127">
        <f t="shared" si="100"/>
        <v>4645.2936398036236</v>
      </c>
      <c r="S82" s="153" t="s">
        <v>10</v>
      </c>
      <c r="T82" s="77">
        <f t="shared" si="107"/>
        <v>-30964.48</v>
      </c>
      <c r="U82" s="77">
        <f t="shared" si="101"/>
        <v>-33820.720000000001</v>
      </c>
      <c r="V82" s="77">
        <f t="shared" si="101"/>
        <v>-36035.440000000002</v>
      </c>
      <c r="W82" s="77">
        <f t="shared" si="101"/>
        <v>-41990.720000000001</v>
      </c>
      <c r="X82" s="166">
        <f t="shared" si="102"/>
        <v>-35702.839999999997</v>
      </c>
      <c r="Y82" s="167">
        <f t="shared" si="103"/>
        <v>-30964.48</v>
      </c>
      <c r="Z82" s="167">
        <f t="shared" si="104"/>
        <v>-41990.720000000001</v>
      </c>
      <c r="AC82" s="119" t="s">
        <v>10</v>
      </c>
      <c r="AD82" s="77">
        <f t="shared" si="108"/>
        <v>30964.48</v>
      </c>
      <c r="AE82" s="77">
        <f t="shared" si="105"/>
        <v>33820.720000000001</v>
      </c>
      <c r="AF82" s="77">
        <f t="shared" si="105"/>
        <v>36035.440000000002</v>
      </c>
      <c r="AG82" s="77">
        <f t="shared" si="105"/>
        <v>41990.720000000001</v>
      </c>
    </row>
    <row r="83" spans="1:33" x14ac:dyDescent="0.25">
      <c r="A83" s="119" t="s">
        <v>11</v>
      </c>
      <c r="B83" s="134">
        <f>K116*Générale!$B$4</f>
        <v>46023</v>
      </c>
      <c r="C83" s="134">
        <f>L116*Générale!$B$4</f>
        <v>58275</v>
      </c>
      <c r="D83" s="134">
        <f>M116*Générale!$B$4</f>
        <v>49302</v>
      </c>
      <c r="E83" s="134">
        <f>N116*Générale!$B$4</f>
        <v>0</v>
      </c>
      <c r="J83" s="119" t="s">
        <v>11</v>
      </c>
      <c r="K83" s="134">
        <f t="shared" si="106"/>
        <v>60234</v>
      </c>
      <c r="L83" s="134">
        <f t="shared" si="97"/>
        <v>59335</v>
      </c>
      <c r="M83" s="134">
        <f t="shared" si="97"/>
        <v>57538</v>
      </c>
      <c r="N83" s="134">
        <f t="shared" si="97"/>
        <v>70918</v>
      </c>
      <c r="O83" s="127">
        <f t="shared" si="98"/>
        <v>62006.25</v>
      </c>
      <c r="P83" s="127">
        <f t="shared" si="99"/>
        <v>6045.9626404733926</v>
      </c>
      <c r="Q83" s="127">
        <f t="shared" si="100"/>
        <v>6045.9626404733926</v>
      </c>
      <c r="S83" s="153" t="s">
        <v>11</v>
      </c>
      <c r="T83" s="77">
        <f t="shared" si="107"/>
        <v>-34804.800000000003</v>
      </c>
      <c r="U83" s="77">
        <f t="shared" si="101"/>
        <v>-32751.8</v>
      </c>
      <c r="V83" s="77">
        <f t="shared" si="101"/>
        <v>-30220.400000000001</v>
      </c>
      <c r="W83" s="77">
        <f t="shared" si="101"/>
        <v>-37688.800000000003</v>
      </c>
      <c r="X83" s="166">
        <f t="shared" si="102"/>
        <v>-33866.449999999997</v>
      </c>
      <c r="Y83" s="167">
        <f t="shared" si="103"/>
        <v>-30220.400000000001</v>
      </c>
      <c r="Z83" s="167">
        <f t="shared" si="104"/>
        <v>-37688.800000000003</v>
      </c>
      <c r="AC83" s="119" t="s">
        <v>11</v>
      </c>
      <c r="AD83" s="77">
        <f t="shared" si="108"/>
        <v>34804.800000000003</v>
      </c>
      <c r="AE83" s="77">
        <f t="shared" si="105"/>
        <v>32751.8</v>
      </c>
      <c r="AF83" s="77">
        <f t="shared" si="105"/>
        <v>30220.400000000001</v>
      </c>
      <c r="AG83" s="77">
        <f t="shared" si="105"/>
        <v>37688.800000000003</v>
      </c>
    </row>
    <row r="84" spans="1:33" x14ac:dyDescent="0.25">
      <c r="A84" s="119" t="s">
        <v>12</v>
      </c>
      <c r="B84" s="134">
        <f>K117*Générale!$B$4</f>
        <v>20493</v>
      </c>
      <c r="C84" s="134">
        <f>L117*Générale!$B$4</f>
        <v>18183</v>
      </c>
      <c r="D84" s="134">
        <f>M117*Générale!$B$4</f>
        <v>18501</v>
      </c>
      <c r="E84" s="134">
        <f>N117*Générale!$B$4</f>
        <v>0</v>
      </c>
      <c r="J84" s="119" t="s">
        <v>12</v>
      </c>
      <c r="K84" s="134">
        <f t="shared" si="106"/>
        <v>49852</v>
      </c>
      <c r="L84" s="134">
        <f t="shared" si="97"/>
        <v>49795</v>
      </c>
      <c r="M84" s="134">
        <f t="shared" si="97"/>
        <v>56737</v>
      </c>
      <c r="N84" s="134">
        <f t="shared" si="97"/>
        <v>0</v>
      </c>
      <c r="O84" s="127">
        <f t="shared" si="98"/>
        <v>39096</v>
      </c>
      <c r="P84" s="127">
        <f t="shared" si="99"/>
        <v>26266.976948251962</v>
      </c>
      <c r="Q84" s="127">
        <f t="shared" si="100"/>
        <v>26266.976948251962</v>
      </c>
      <c r="S84" s="153" t="s">
        <v>12</v>
      </c>
      <c r="T84" s="77">
        <f t="shared" si="107"/>
        <v>-29953.200000000001</v>
      </c>
      <c r="U84" s="77">
        <f t="shared" si="101"/>
        <v>-30411.4</v>
      </c>
      <c r="V84" s="77">
        <f t="shared" si="101"/>
        <v>-34713.800000000003</v>
      </c>
      <c r="W84" s="77"/>
      <c r="X84" s="166">
        <f t="shared" si="102"/>
        <v>-31692.800000000003</v>
      </c>
      <c r="Y84" s="167">
        <f t="shared" si="103"/>
        <v>-29953.200000000001</v>
      </c>
      <c r="Z84" s="167">
        <f t="shared" si="104"/>
        <v>-34713.800000000003</v>
      </c>
      <c r="AC84" s="119" t="s">
        <v>12</v>
      </c>
      <c r="AD84" s="77">
        <f t="shared" si="108"/>
        <v>29953.200000000001</v>
      </c>
      <c r="AE84" s="77">
        <f t="shared" si="105"/>
        <v>30411.4</v>
      </c>
      <c r="AF84" s="77">
        <f t="shared" si="105"/>
        <v>34713.800000000003</v>
      </c>
      <c r="AG84" s="77"/>
    </row>
    <row r="85" spans="1:33" ht="15.75" thickBot="1" x14ac:dyDescent="0.3">
      <c r="A85" s="119" t="s">
        <v>13</v>
      </c>
      <c r="B85" s="134">
        <f>K118*Générale!$B$4</f>
        <v>23439</v>
      </c>
      <c r="C85" s="134">
        <f>L118*Générale!$B$4</f>
        <v>24687</v>
      </c>
      <c r="D85" s="134">
        <f>M118*Générale!$B$4</f>
        <v>22272</v>
      </c>
      <c r="E85" s="134">
        <f>N118*Générale!$B$4</f>
        <v>0</v>
      </c>
      <c r="J85" s="119" t="s">
        <v>13</v>
      </c>
      <c r="K85" s="134">
        <f t="shared" si="106"/>
        <v>48380</v>
      </c>
      <c r="L85" s="134">
        <f t="shared" si="97"/>
        <v>50039</v>
      </c>
      <c r="M85" s="134">
        <f t="shared" si="97"/>
        <v>53732</v>
      </c>
      <c r="N85" s="134">
        <f t="shared" si="97"/>
        <v>0</v>
      </c>
      <c r="O85" s="127">
        <f t="shared" si="98"/>
        <v>38037.75</v>
      </c>
      <c r="P85" s="127">
        <f t="shared" si="99"/>
        <v>25456.970523807424</v>
      </c>
      <c r="Q85" s="127">
        <f t="shared" si="100"/>
        <v>25456.970523807424</v>
      </c>
      <c r="S85" s="168" t="s">
        <v>13</v>
      </c>
      <c r="T85" s="77">
        <f t="shared" si="107"/>
        <v>-26321.199999999997</v>
      </c>
      <c r="U85" s="77">
        <f t="shared" si="101"/>
        <v>-26311.399999999998</v>
      </c>
      <c r="V85" s="77">
        <f t="shared" si="101"/>
        <v>-25886.799999999999</v>
      </c>
      <c r="W85" s="77"/>
      <c r="X85" s="166">
        <f t="shared" si="102"/>
        <v>-26173.133333333331</v>
      </c>
      <c r="Y85" s="167">
        <f t="shared" si="103"/>
        <v>-25886.799999999999</v>
      </c>
      <c r="Z85" s="167">
        <f t="shared" si="104"/>
        <v>-26321.199999999997</v>
      </c>
      <c r="AC85" s="139" t="s">
        <v>13</v>
      </c>
      <c r="AD85" s="77">
        <f t="shared" si="108"/>
        <v>26321.199999999997</v>
      </c>
      <c r="AE85" s="77">
        <f t="shared" si="105"/>
        <v>26311.399999999998</v>
      </c>
      <c r="AF85" s="77">
        <f t="shared" si="105"/>
        <v>25886.799999999999</v>
      </c>
      <c r="AG85" s="77"/>
    </row>
    <row r="86" spans="1:33" ht="16.5" thickTop="1" thickBot="1" x14ac:dyDescent="0.3">
      <c r="A86" s="128" t="s">
        <v>0</v>
      </c>
      <c r="B86" s="129">
        <f>SUM(B74:B85)</f>
        <v>698436</v>
      </c>
      <c r="C86" s="129">
        <f>SUM(C74:C85)</f>
        <v>752862</v>
      </c>
      <c r="D86" s="129">
        <f>SUM(D74:D85)</f>
        <v>719763</v>
      </c>
      <c r="E86" s="129">
        <f>SUM(E74:E85)</f>
        <v>683124</v>
      </c>
      <c r="J86" s="128" t="s">
        <v>0</v>
      </c>
      <c r="K86" s="129">
        <f t="shared" ref="K86:M86" si="109">SUM(K74:K85)</f>
        <v>669048</v>
      </c>
      <c r="L86" s="129">
        <f t="shared" si="109"/>
        <v>686153</v>
      </c>
      <c r="M86" s="129">
        <f t="shared" si="109"/>
        <v>713342</v>
      </c>
      <c r="N86" s="129">
        <f>SUM(N74:N85)</f>
        <v>671994</v>
      </c>
      <c r="S86" s="169" t="s">
        <v>0</v>
      </c>
      <c r="T86" s="170">
        <f>SUM(T74:T85)</f>
        <v>-371563.28</v>
      </c>
      <c r="U86" s="170">
        <f>SUM(U74:U85)</f>
        <v>-386605.24000000005</v>
      </c>
      <c r="V86" s="170">
        <f>SUM(V74:V85)</f>
        <v>-402488.8</v>
      </c>
      <c r="W86" s="170">
        <f>SUM(W74:W85)</f>
        <v>-405130.23999999993</v>
      </c>
      <c r="X86" s="148"/>
      <c r="Y86" s="148"/>
      <c r="Z86" s="148"/>
      <c r="AC86" s="138" t="s">
        <v>0</v>
      </c>
      <c r="AD86" s="170">
        <f>SUM(AD74:AD85)</f>
        <v>371563.28</v>
      </c>
      <c r="AE86" s="170">
        <f>SUM(AE74:AE85)</f>
        <v>386605.24000000005</v>
      </c>
      <c r="AF86" s="170">
        <f>SUM(AF74:AF85)</f>
        <v>402488.8</v>
      </c>
      <c r="AG86" s="170">
        <f>SUM(AG74:AG85)</f>
        <v>405130.23999999993</v>
      </c>
    </row>
    <row r="87" spans="1:33" ht="15.75" thickTop="1" x14ac:dyDescent="0.25">
      <c r="A87" s="136" t="s">
        <v>14</v>
      </c>
      <c r="B87" s="136"/>
      <c r="C87" s="136"/>
      <c r="D87" s="136"/>
      <c r="E87" s="136"/>
      <c r="J87" s="136" t="s">
        <v>14</v>
      </c>
      <c r="K87" s="136"/>
      <c r="L87" s="136"/>
      <c r="M87" s="136"/>
      <c r="N87" s="136"/>
      <c r="O87" s="136"/>
      <c r="P87" s="136"/>
      <c r="Q87" s="136"/>
    </row>
    <row r="88" spans="1:33" ht="15.75" thickBot="1" x14ac:dyDescent="0.3"/>
    <row r="89" spans="1:33" ht="17.25" thickTop="1" thickBot="1" x14ac:dyDescent="0.3">
      <c r="A89" s="140" t="s">
        <v>178</v>
      </c>
      <c r="B89" s="141"/>
      <c r="C89" s="141"/>
      <c r="D89" s="141"/>
      <c r="E89" s="141"/>
      <c r="F89" s="142"/>
      <c r="J89" s="140" t="s">
        <v>177</v>
      </c>
      <c r="K89" s="141"/>
      <c r="L89" s="141"/>
      <c r="M89" s="141"/>
      <c r="N89" s="141"/>
    </row>
    <row r="90" spans="1:33" ht="16.5" thickTop="1" x14ac:dyDescent="0.25">
      <c r="A90" s="124"/>
      <c r="B90" s="125">
        <v>2014</v>
      </c>
      <c r="C90" s="125">
        <v>2015</v>
      </c>
      <c r="D90" s="125">
        <v>2016</v>
      </c>
      <c r="E90" s="125">
        <v>2017</v>
      </c>
      <c r="J90" s="124"/>
      <c r="K90" s="125">
        <v>2014</v>
      </c>
      <c r="L90" s="125">
        <v>2015</v>
      </c>
      <c r="M90" s="125">
        <v>2016</v>
      </c>
      <c r="N90" s="125">
        <v>2017</v>
      </c>
    </row>
    <row r="91" spans="1:33" x14ac:dyDescent="0.25">
      <c r="A91" s="119" t="s">
        <v>2</v>
      </c>
      <c r="B91" s="134">
        <f>K91*Générale!$B$4</f>
        <v>6744</v>
      </c>
      <c r="C91" s="134">
        <f>L91*Générale!$B$4</f>
        <v>10296</v>
      </c>
      <c r="D91" s="134">
        <f>M91*Générale!$B$4</f>
        <v>7887</v>
      </c>
      <c r="E91" s="134">
        <f>N91*Générale!$B$4</f>
        <v>11154</v>
      </c>
      <c r="J91" s="119" t="s">
        <v>2</v>
      </c>
      <c r="K91" s="134">
        <v>2248</v>
      </c>
      <c r="L91" s="134">
        <v>3432</v>
      </c>
      <c r="M91" s="134">
        <v>2629</v>
      </c>
      <c r="N91" s="186">
        <v>3718</v>
      </c>
    </row>
    <row r="92" spans="1:33" x14ac:dyDescent="0.25">
      <c r="A92" s="119" t="s">
        <v>3</v>
      </c>
      <c r="B92" s="134">
        <f>K92*Générale!$B$4</f>
        <v>12597</v>
      </c>
      <c r="C92" s="134">
        <f>L92*Générale!$B$4</f>
        <v>9441</v>
      </c>
      <c r="D92" s="134">
        <f>M92*Générale!$B$4</f>
        <v>9165</v>
      </c>
      <c r="E92" s="134">
        <f>N92*Générale!$B$4</f>
        <v>10845</v>
      </c>
      <c r="J92" s="119" t="s">
        <v>3</v>
      </c>
      <c r="K92" s="134">
        <v>4199</v>
      </c>
      <c r="L92" s="134">
        <v>3147</v>
      </c>
      <c r="M92" s="134">
        <v>3055</v>
      </c>
      <c r="N92" s="186">
        <v>3615</v>
      </c>
    </row>
    <row r="93" spans="1:33" x14ac:dyDescent="0.25">
      <c r="A93" s="119" t="s">
        <v>4</v>
      </c>
      <c r="B93" s="134">
        <f>K93*Générale!$B$4</f>
        <v>15459</v>
      </c>
      <c r="C93" s="134">
        <f>L93*Générale!$B$4</f>
        <v>12318</v>
      </c>
      <c r="D93" s="134">
        <f>M93*Générale!$B$4</f>
        <v>11682</v>
      </c>
      <c r="E93" s="134">
        <f>N93*Générale!$B$4</f>
        <v>13173</v>
      </c>
      <c r="J93" s="119" t="s">
        <v>4</v>
      </c>
      <c r="K93" s="134">
        <v>5153</v>
      </c>
      <c r="L93" s="134">
        <v>4106</v>
      </c>
      <c r="M93" s="134">
        <v>3894</v>
      </c>
      <c r="N93" s="186">
        <v>4391</v>
      </c>
    </row>
    <row r="94" spans="1:33" x14ac:dyDescent="0.25">
      <c r="A94" s="119" t="s">
        <v>5</v>
      </c>
      <c r="B94" s="134">
        <f>K94*Générale!$B$4</f>
        <v>19533</v>
      </c>
      <c r="C94" s="134">
        <f>L94*Générale!$B$4</f>
        <v>14445</v>
      </c>
      <c r="D94" s="134">
        <f>M94*Générale!$B$4</f>
        <v>15531</v>
      </c>
      <c r="E94" s="134">
        <f>N94*Générale!$B$4</f>
        <v>17583</v>
      </c>
      <c r="J94" s="119" t="s">
        <v>5</v>
      </c>
      <c r="K94" s="134">
        <v>6511</v>
      </c>
      <c r="L94" s="134">
        <v>4815</v>
      </c>
      <c r="M94" s="134">
        <v>5177</v>
      </c>
      <c r="N94" s="186">
        <v>5861</v>
      </c>
    </row>
    <row r="95" spans="1:33" x14ac:dyDescent="0.25">
      <c r="A95" s="119" t="s">
        <v>6</v>
      </c>
      <c r="B95" s="134">
        <f>K95*Générale!$B$4</f>
        <v>31173</v>
      </c>
      <c r="C95" s="134">
        <f>L95*Générale!$B$4</f>
        <v>19455</v>
      </c>
      <c r="D95" s="134">
        <f>M95*Générale!$B$4</f>
        <v>18024</v>
      </c>
      <c r="E95" s="134">
        <f>N95*Générale!$B$4</f>
        <v>17064</v>
      </c>
      <c r="J95" s="119" t="s">
        <v>6</v>
      </c>
      <c r="K95" s="134">
        <v>10391</v>
      </c>
      <c r="L95" s="134">
        <v>6485</v>
      </c>
      <c r="M95" s="134">
        <v>6008</v>
      </c>
      <c r="N95" s="186">
        <v>5688</v>
      </c>
    </row>
    <row r="96" spans="1:33" x14ac:dyDescent="0.25">
      <c r="A96" s="119" t="s">
        <v>7</v>
      </c>
      <c r="B96" s="134">
        <f>K96*Générale!$B$4</f>
        <v>27273</v>
      </c>
      <c r="C96" s="134">
        <f>L96*Générale!$B$4</f>
        <v>19065</v>
      </c>
      <c r="D96" s="134">
        <f>M96*Générale!$B$4</f>
        <v>19038</v>
      </c>
      <c r="E96" s="134">
        <f>N96*Générale!$B$4</f>
        <v>21927</v>
      </c>
      <c r="J96" s="119" t="s">
        <v>7</v>
      </c>
      <c r="K96" s="134">
        <v>9091</v>
      </c>
      <c r="L96" s="134">
        <v>6355</v>
      </c>
      <c r="M96" s="134">
        <v>6346</v>
      </c>
      <c r="N96" s="186">
        <v>7309</v>
      </c>
    </row>
    <row r="97" spans="1:14" x14ac:dyDescent="0.25">
      <c r="A97" s="119" t="s">
        <v>8</v>
      </c>
      <c r="B97" s="134">
        <f>K97*Générale!$B$4</f>
        <v>22650</v>
      </c>
      <c r="C97" s="134">
        <f>L97*Générale!$B$4</f>
        <v>27615</v>
      </c>
      <c r="D97" s="134">
        <f>M97*Générale!$B$4</f>
        <v>25425</v>
      </c>
      <c r="E97" s="134">
        <f>N97*Générale!$B$4</f>
        <v>34458</v>
      </c>
      <c r="J97" s="119" t="s">
        <v>8</v>
      </c>
      <c r="K97" s="134">
        <v>7550</v>
      </c>
      <c r="L97" s="134">
        <v>9205</v>
      </c>
      <c r="M97" s="134">
        <v>8475</v>
      </c>
      <c r="N97" s="186">
        <v>11486</v>
      </c>
    </row>
    <row r="98" spans="1:14" x14ac:dyDescent="0.25">
      <c r="A98" s="119" t="s">
        <v>9</v>
      </c>
      <c r="B98" s="134">
        <f>K98*Générale!$B$4</f>
        <v>59976</v>
      </c>
      <c r="C98" s="134">
        <f>L98*Générale!$B$4</f>
        <v>38895</v>
      </c>
      <c r="D98" s="134">
        <f>M98*Générale!$B$4</f>
        <v>30189</v>
      </c>
      <c r="E98" s="134">
        <f>N98*Générale!$B$4</f>
        <v>39765</v>
      </c>
      <c r="J98" s="119" t="s">
        <v>9</v>
      </c>
      <c r="K98" s="134">
        <v>19992</v>
      </c>
      <c r="L98" s="134">
        <v>12965</v>
      </c>
      <c r="M98" s="134">
        <v>10063</v>
      </c>
      <c r="N98" s="186">
        <v>13255</v>
      </c>
    </row>
    <row r="99" spans="1:14" x14ac:dyDescent="0.25">
      <c r="A99" s="119" t="s">
        <v>10</v>
      </c>
      <c r="B99" s="134">
        <f>K99*Générale!$B$4</f>
        <v>26706</v>
      </c>
      <c r="C99" s="134">
        <f>L99*Générale!$B$4</f>
        <v>22836</v>
      </c>
      <c r="D99" s="134">
        <f>M99*Générale!$B$4</f>
        <v>22824</v>
      </c>
      <c r="E99" s="134">
        <f>N99*Générale!$B$4</f>
        <v>26103</v>
      </c>
      <c r="J99" s="119" t="s">
        <v>10</v>
      </c>
      <c r="K99" s="134">
        <v>8902</v>
      </c>
      <c r="L99" s="134">
        <v>7612</v>
      </c>
      <c r="M99" s="134">
        <v>7608</v>
      </c>
      <c r="N99" s="186">
        <v>8701</v>
      </c>
    </row>
    <row r="100" spans="1:14" x14ac:dyDescent="0.25">
      <c r="A100" s="119" t="s">
        <v>11</v>
      </c>
      <c r="B100" s="134">
        <f>K100*Générale!$B$4</f>
        <v>19485</v>
      </c>
      <c r="C100" s="134">
        <f>L100*Générale!$B$4</f>
        <v>21576</v>
      </c>
      <c r="D100" s="134">
        <f>M100*Générale!$B$4</f>
        <v>19518</v>
      </c>
      <c r="E100" s="134">
        <f>N100*Générale!$B$4</f>
        <v>21522</v>
      </c>
      <c r="J100" s="119" t="s">
        <v>11</v>
      </c>
      <c r="K100" s="134">
        <v>6495</v>
      </c>
      <c r="L100" s="134">
        <v>7192</v>
      </c>
      <c r="M100" s="134">
        <v>6506</v>
      </c>
      <c r="N100" s="186">
        <v>7174</v>
      </c>
    </row>
    <row r="101" spans="1:14" x14ac:dyDescent="0.25">
      <c r="A101" s="119" t="s">
        <v>12</v>
      </c>
      <c r="B101" s="134">
        <f>K101*Générale!$B$4</f>
        <v>12036</v>
      </c>
      <c r="C101" s="134">
        <f>L101*Générale!$B$4</f>
        <v>11142</v>
      </c>
      <c r="D101" s="134">
        <f>M101*Générale!$B$4</f>
        <v>12141</v>
      </c>
      <c r="E101" s="134">
        <f>N101*Générale!$B$4</f>
        <v>0</v>
      </c>
      <c r="J101" s="119" t="s">
        <v>12</v>
      </c>
      <c r="K101" s="134">
        <v>4012</v>
      </c>
      <c r="L101" s="134">
        <v>3714</v>
      </c>
      <c r="M101" s="134">
        <v>4047</v>
      </c>
      <c r="N101" s="134"/>
    </row>
    <row r="102" spans="1:14" ht="15.75" thickBot="1" x14ac:dyDescent="0.3">
      <c r="A102" s="119" t="s">
        <v>13</v>
      </c>
      <c r="B102" s="134">
        <f>K102*Générale!$B$4</f>
        <v>12876</v>
      </c>
      <c r="C102" s="134">
        <f>L102*Générale!$B$4</f>
        <v>10821</v>
      </c>
      <c r="D102" s="134">
        <f>M102*Générale!$B$4</f>
        <v>13611</v>
      </c>
      <c r="E102" s="134">
        <f>N102*Générale!$B$4</f>
        <v>0</v>
      </c>
      <c r="J102" s="119" t="s">
        <v>13</v>
      </c>
      <c r="K102" s="134">
        <v>4292</v>
      </c>
      <c r="L102" s="134">
        <v>3607</v>
      </c>
      <c r="M102" s="115">
        <v>4537</v>
      </c>
      <c r="N102" s="115"/>
    </row>
    <row r="103" spans="1:14" ht="16.5" thickTop="1" thickBot="1" x14ac:dyDescent="0.3">
      <c r="A103" s="128" t="s">
        <v>0</v>
      </c>
      <c r="B103" s="129">
        <f>SUM(B91:B102)</f>
        <v>266508</v>
      </c>
      <c r="C103" s="129">
        <f>SUM(C91:C102)</f>
        <v>217905</v>
      </c>
      <c r="D103" s="129">
        <f>SUM(D91:D102)</f>
        <v>205035</v>
      </c>
      <c r="E103" s="129">
        <f>SUM(E91:E102)</f>
        <v>213594</v>
      </c>
      <c r="J103" s="128" t="s">
        <v>0</v>
      </c>
      <c r="K103" s="129">
        <f>SUM(K91:K102)</f>
        <v>88836</v>
      </c>
      <c r="L103" s="129">
        <f>SUM(L91:L102)</f>
        <v>72635</v>
      </c>
      <c r="M103" s="129">
        <f>SUM(M91:M102)</f>
        <v>68345</v>
      </c>
      <c r="N103" s="129">
        <f>SUM(N91:N102)</f>
        <v>71198</v>
      </c>
    </row>
    <row r="104" spans="1:14" ht="16.5" thickTop="1" thickBot="1" x14ac:dyDescent="0.3">
      <c r="A104" s="136" t="s">
        <v>14</v>
      </c>
      <c r="B104" s="136"/>
      <c r="C104" s="136"/>
      <c r="D104" s="136"/>
      <c r="E104" s="136"/>
    </row>
    <row r="105" spans="1:14" ht="17.25" thickTop="1" thickBot="1" x14ac:dyDescent="0.3">
      <c r="J105" s="140" t="s">
        <v>175</v>
      </c>
      <c r="K105" s="141"/>
      <c r="L105" s="141"/>
      <c r="M105" s="141"/>
      <c r="N105" s="141"/>
    </row>
    <row r="106" spans="1:14" ht="17.25" thickTop="1" thickBot="1" x14ac:dyDescent="0.3">
      <c r="A106" s="140" t="s">
        <v>167</v>
      </c>
      <c r="B106" s="142"/>
      <c r="J106" s="124"/>
      <c r="K106" s="125">
        <v>2014</v>
      </c>
      <c r="L106" s="125">
        <v>2015</v>
      </c>
      <c r="M106" s="125">
        <v>2016</v>
      </c>
      <c r="N106" s="125">
        <v>2017</v>
      </c>
    </row>
    <row r="107" spans="1:14" ht="16.5" thickTop="1" x14ac:dyDescent="0.25">
      <c r="A107" s="124"/>
      <c r="B107" s="125">
        <v>2014</v>
      </c>
      <c r="C107" s="125">
        <v>2015</v>
      </c>
      <c r="D107" s="125">
        <v>2016</v>
      </c>
      <c r="E107" s="125">
        <v>2017</v>
      </c>
      <c r="F107" s="126" t="s">
        <v>1</v>
      </c>
      <c r="G107" s="117" t="s">
        <v>18</v>
      </c>
      <c r="H107" s="117" t="s">
        <v>17</v>
      </c>
      <c r="J107" s="119" t="s">
        <v>2</v>
      </c>
      <c r="K107" s="134">
        <v>7556</v>
      </c>
      <c r="L107" s="134">
        <v>5952</v>
      </c>
      <c r="M107" s="134">
        <v>6780</v>
      </c>
      <c r="N107" s="118">
        <v>4955</v>
      </c>
    </row>
    <row r="108" spans="1:14" x14ac:dyDescent="0.25">
      <c r="A108" s="119" t="s">
        <v>2</v>
      </c>
      <c r="B108" s="134">
        <f>'AJACCIO 2014'!BU4+'AJACCIO 2014'!BU21</f>
        <v>29945.999999999993</v>
      </c>
      <c r="C108" s="134">
        <f>'AJACCIO 2015'!BU4+'AJACCIO 2015'!BU21</f>
        <v>25953.199999999997</v>
      </c>
      <c r="D108" s="134">
        <f>'AJACCIO 2016'!BU4+'AJACCIO 2016'!BU4</f>
        <v>26352.479999999996</v>
      </c>
      <c r="E108" s="134">
        <f>'AJACCIO 2017'!BU4+'AJACCIO 2017'!BU4</f>
        <v>26352.479999999996</v>
      </c>
      <c r="F108" s="127">
        <f t="shared" ref="F108:F119" si="110">AVERAGE(B108:E108)</f>
        <v>27151.039999999997</v>
      </c>
      <c r="G108" s="127">
        <f t="shared" ref="G108:G119" si="111">STDEVA(B108:E108)</f>
        <v>1872.7892045822971</v>
      </c>
      <c r="H108" s="127">
        <f t="shared" ref="H108:H119" si="112">STDEVA(B108:E108)</f>
        <v>1872.7892045822971</v>
      </c>
      <c r="J108" s="119" t="s">
        <v>3</v>
      </c>
      <c r="K108" s="134">
        <v>3477</v>
      </c>
      <c r="L108" s="134">
        <v>5461</v>
      </c>
      <c r="M108" s="134">
        <v>5802</v>
      </c>
      <c r="N108" s="118">
        <v>6134</v>
      </c>
    </row>
    <row r="109" spans="1:14" x14ac:dyDescent="0.25">
      <c r="A109" s="119" t="s">
        <v>3</v>
      </c>
      <c r="B109" s="134">
        <f>'AJACCIO 2014'!BU5+'AJACCIO 2014'!BU22</f>
        <v>22359.679999999993</v>
      </c>
      <c r="C109" s="134">
        <f>'AJACCIO 2015'!BU5+'AJACCIO 2015'!BU22</f>
        <v>22758.959999999999</v>
      </c>
      <c r="D109" s="134">
        <f>'AJACCIO 2016'!BU5+'AJACCIO 2016'!BU5</f>
        <v>24755.360000000001</v>
      </c>
      <c r="E109" s="134">
        <f>'AJACCIO 2017'!BU5+'AJACCIO 2017'!BU5</f>
        <v>22359.68</v>
      </c>
      <c r="F109" s="127">
        <f t="shared" si="110"/>
        <v>23058.42</v>
      </c>
      <c r="G109" s="127">
        <f t="shared" si="111"/>
        <v>1146.8444867548537</v>
      </c>
      <c r="H109" s="127">
        <f t="shared" si="112"/>
        <v>1146.8444867548537</v>
      </c>
      <c r="J109" s="119" t="s">
        <v>4</v>
      </c>
      <c r="K109" s="134">
        <v>4764</v>
      </c>
      <c r="L109" s="134">
        <v>6420</v>
      </c>
      <c r="M109" s="134">
        <v>6874</v>
      </c>
      <c r="N109" s="118">
        <v>18894</v>
      </c>
    </row>
    <row r="110" spans="1:14" x14ac:dyDescent="0.25">
      <c r="A110" s="119" t="s">
        <v>4</v>
      </c>
      <c r="B110" s="134">
        <f>'AJACCIO 2014'!BU6+'AJACCIO 2014'!BU23</f>
        <v>24755.360000000001</v>
      </c>
      <c r="C110" s="134">
        <f>'AJACCIO 2015'!BU6+'AJACCIO 2015'!BU23</f>
        <v>24755.359999999997</v>
      </c>
      <c r="D110" s="134">
        <f>'AJACCIO 2016'!BU6+'AJACCIO 2016'!BU6</f>
        <v>26352.479999999996</v>
      </c>
      <c r="E110" s="134">
        <f>'AJACCIO 2017'!BU6+'AJACCIO 2017'!BU6</f>
        <v>24755.360000000001</v>
      </c>
      <c r="F110" s="127">
        <f t="shared" si="110"/>
        <v>25154.639999999999</v>
      </c>
      <c r="G110" s="127">
        <f t="shared" si="111"/>
        <v>798.55999999999824</v>
      </c>
      <c r="H110" s="127">
        <f t="shared" si="112"/>
        <v>798.55999999999824</v>
      </c>
      <c r="J110" s="119" t="s">
        <v>5</v>
      </c>
      <c r="K110" s="134">
        <v>11737</v>
      </c>
      <c r="L110" s="134">
        <v>14143</v>
      </c>
      <c r="M110" s="134">
        <v>16803</v>
      </c>
      <c r="N110" s="118">
        <v>22439</v>
      </c>
    </row>
    <row r="111" spans="1:14" x14ac:dyDescent="0.25">
      <c r="A111" s="119" t="s">
        <v>5</v>
      </c>
      <c r="B111" s="134">
        <f>'AJACCIO 2014'!BU7+'AJACCIO 2014'!BU24</f>
        <v>78544.079999999987</v>
      </c>
      <c r="C111" s="134">
        <f>'AJACCIO 2015'!BU7+'AJACCIO 2015'!BU24</f>
        <v>79513.760000000009</v>
      </c>
      <c r="D111" s="134">
        <f>'AJACCIO 2016'!BU7+'AJACCIO 2016'!BU7</f>
        <v>93089.279999999984</v>
      </c>
      <c r="E111" s="134">
        <f>'AJACCIO 2017'!BU7+'AJACCIO 2017'!BU7</f>
        <v>85331.839999999982</v>
      </c>
      <c r="F111" s="127">
        <f t="shared" si="110"/>
        <v>84119.739999999991</v>
      </c>
      <c r="G111" s="127">
        <f t="shared" si="111"/>
        <v>6688.9179597699685</v>
      </c>
      <c r="H111" s="127">
        <f t="shared" si="112"/>
        <v>6688.9179597699685</v>
      </c>
      <c r="J111" s="119" t="s">
        <v>6</v>
      </c>
      <c r="K111" s="134">
        <v>27893</v>
      </c>
      <c r="L111" s="134">
        <v>27795</v>
      </c>
      <c r="M111" s="134">
        <v>22988</v>
      </c>
      <c r="N111" s="118">
        <v>28809</v>
      </c>
    </row>
    <row r="112" spans="1:14" x14ac:dyDescent="0.25">
      <c r="A112" s="119" t="s">
        <v>6</v>
      </c>
      <c r="B112" s="134">
        <f>'AJACCIO 2014'!BU8+'AJACCIO 2014'!BU25</f>
        <v>101816.4</v>
      </c>
      <c r="C112" s="134">
        <f>'AJACCIO 2015'!BU8+'AJACCIO 2015'!BU25</f>
        <v>96967.999999999985</v>
      </c>
      <c r="D112" s="134">
        <f>'AJACCIO 2016'!BU8+'AJACCIO 2016'!BU8</f>
        <v>83392.479999999981</v>
      </c>
      <c r="E112" s="134">
        <f>'AJACCIO 2017'!BU8+'AJACCIO 2017'!BU8</f>
        <v>87271.2</v>
      </c>
      <c r="F112" s="127">
        <f t="shared" si="110"/>
        <v>92362.01999999999</v>
      </c>
      <c r="G112" s="127">
        <f t="shared" si="111"/>
        <v>8504.3018335585148</v>
      </c>
      <c r="H112" s="127">
        <f t="shared" si="112"/>
        <v>8504.3018335585148</v>
      </c>
      <c r="J112" s="119" t="s">
        <v>7</v>
      </c>
      <c r="K112" s="134">
        <v>30385</v>
      </c>
      <c r="L112" s="134">
        <v>28578</v>
      </c>
      <c r="M112" s="134">
        <v>26800</v>
      </c>
      <c r="N112" s="118">
        <v>44079</v>
      </c>
    </row>
    <row r="113" spans="1:14" x14ac:dyDescent="0.25">
      <c r="A113" s="119" t="s">
        <v>7</v>
      </c>
      <c r="B113" s="134">
        <f>'AJACCIO 2014'!BU9+'AJACCIO 2014'!BU26</f>
        <v>110543.51999999999</v>
      </c>
      <c r="C113" s="134">
        <f>'AJACCIO 2015'!BU9+'AJACCIO 2015'!BU26</f>
        <v>115391.91999999998</v>
      </c>
      <c r="D113" s="134">
        <f>'AJACCIO 2016'!BU9+'AJACCIO 2016'!BU9</f>
        <v>106664.79999999999</v>
      </c>
      <c r="E113" s="134">
        <f>'AJACCIO 2017'!BU9+'AJACCIO 2017'!BU9</f>
        <v>95028.64</v>
      </c>
      <c r="F113" s="127">
        <f t="shared" si="110"/>
        <v>106907.22</v>
      </c>
      <c r="G113" s="127">
        <f t="shared" si="111"/>
        <v>8686.6227049181725</v>
      </c>
      <c r="H113" s="127">
        <f t="shared" si="112"/>
        <v>8686.6227049181725</v>
      </c>
      <c r="J113" s="119" t="s">
        <v>8</v>
      </c>
      <c r="K113" s="134">
        <v>39752</v>
      </c>
      <c r="L113" s="134">
        <v>40933</v>
      </c>
      <c r="M113" s="134">
        <v>40376</v>
      </c>
      <c r="N113" s="118">
        <v>51184</v>
      </c>
    </row>
    <row r="114" spans="1:14" x14ac:dyDescent="0.25">
      <c r="A114" s="119" t="s">
        <v>8</v>
      </c>
      <c r="B114" s="134">
        <f>'AJACCIO 2014'!BU10+'AJACCIO 2014'!BU27</f>
        <v>120240.31999999999</v>
      </c>
      <c r="C114" s="134">
        <f>'AJACCIO 2015'!BU10+'AJACCIO 2015'!BU27</f>
        <v>115391.92</v>
      </c>
      <c r="D114" s="134">
        <f>'AJACCIO 2016'!BU10+'AJACCIO 2016'!BU10</f>
        <v>122179.68000000001</v>
      </c>
      <c r="E114" s="134">
        <f>'AJACCIO 2017'!BU10+'AJACCIO 2017'!BU10</f>
        <v>127997.75999999999</v>
      </c>
      <c r="F114" s="127">
        <f t="shared" si="110"/>
        <v>121452.42</v>
      </c>
      <c r="G114" s="127">
        <f t="shared" si="111"/>
        <v>5214.3785018990193</v>
      </c>
      <c r="H114" s="127">
        <f t="shared" si="112"/>
        <v>5214.3785018990193</v>
      </c>
      <c r="J114" s="119" t="s">
        <v>9</v>
      </c>
      <c r="K114" s="134">
        <v>46874</v>
      </c>
      <c r="L114" s="134">
        <v>52206</v>
      </c>
      <c r="M114" s="134">
        <v>51372</v>
      </c>
      <c r="N114" s="118">
        <v>32838</v>
      </c>
    </row>
    <row r="115" spans="1:14" x14ac:dyDescent="0.25">
      <c r="A115" s="119" t="s">
        <v>9</v>
      </c>
      <c r="B115" s="134">
        <f>'AJACCIO 2014'!BU11+'AJACCIO 2014'!BU28</f>
        <v>117331.28</v>
      </c>
      <c r="C115" s="134">
        <f>'AJACCIO 2015'!BU11+'AJACCIO 2015'!BU28</f>
        <v>119270.63999999998</v>
      </c>
      <c r="D115" s="134">
        <f>'AJACCIO 2016'!BU11+'AJACCIO 2016'!BU11</f>
        <v>124119.03999999999</v>
      </c>
      <c r="E115" s="134">
        <f>'AJACCIO 2017'!BU11+'AJACCIO 2017'!BU11</f>
        <v>126058.40000000002</v>
      </c>
      <c r="F115" s="127">
        <f t="shared" si="110"/>
        <v>121694.84</v>
      </c>
      <c r="G115" s="127">
        <f t="shared" si="111"/>
        <v>4075.7331866876111</v>
      </c>
      <c r="H115" s="127">
        <f t="shared" si="112"/>
        <v>4075.7331866876111</v>
      </c>
      <c r="J115" s="119" t="s">
        <v>10</v>
      </c>
      <c r="K115" s="134">
        <v>30389</v>
      </c>
      <c r="L115" s="134">
        <v>35751</v>
      </c>
      <c r="M115" s="134">
        <v>32101</v>
      </c>
      <c r="N115" s="118">
        <v>18376</v>
      </c>
    </row>
    <row r="116" spans="1:14" x14ac:dyDescent="0.25">
      <c r="A116" s="119" t="s">
        <v>10</v>
      </c>
      <c r="B116" s="134">
        <f>'AJACCIO 2014'!BU12+'AJACCIO 2014'!BU29</f>
        <v>100846.72</v>
      </c>
      <c r="C116" s="134">
        <f>'AJACCIO 2015'!BU12+'AJACCIO 2015'!BU29</f>
        <v>108604.16</v>
      </c>
      <c r="D116" s="134">
        <f>'AJACCIO 2016'!BU12+'AJACCIO 2016'!BU12</f>
        <v>110543.51999999999</v>
      </c>
      <c r="E116" s="134">
        <f>'AJACCIO 2017'!BU12+'AJACCIO 2017'!BU12</f>
        <v>102786.07999999997</v>
      </c>
      <c r="F116" s="127">
        <f t="shared" si="110"/>
        <v>105695.12</v>
      </c>
      <c r="G116" s="127">
        <f t="shared" si="111"/>
        <v>4616.6002123929566</v>
      </c>
      <c r="H116" s="127">
        <f t="shared" si="112"/>
        <v>4616.6002123929566</v>
      </c>
      <c r="J116" s="119" t="s">
        <v>11</v>
      </c>
      <c r="K116" s="134">
        <v>15341</v>
      </c>
      <c r="L116" s="134">
        <v>19425</v>
      </c>
      <c r="M116" s="134">
        <v>16434</v>
      </c>
      <c r="N116" s="134"/>
    </row>
    <row r="117" spans="1:14" x14ac:dyDescent="0.25">
      <c r="A117" s="119" t="s">
        <v>11</v>
      </c>
      <c r="B117" s="134">
        <f>'AJACCIO 2014'!BU13+'AJACCIO 2014'!BU30</f>
        <v>75635.039999999994</v>
      </c>
      <c r="C117" s="134">
        <f>'AJACCIO 2015'!BU13+'AJACCIO 2015'!BU30</f>
        <v>80483.44</v>
      </c>
      <c r="D117" s="134">
        <f>'AJACCIO 2016'!BU13+'AJACCIO 2016'!BU13</f>
        <v>79513.760000000009</v>
      </c>
      <c r="E117" s="134">
        <f>'AJACCIO 2017'!BU13+'AJACCIO 2017'!BU13</f>
        <v>79513.759999999995</v>
      </c>
      <c r="F117" s="127">
        <f t="shared" si="110"/>
        <v>78786.5</v>
      </c>
      <c r="G117" s="127">
        <f t="shared" si="111"/>
        <v>2150.1255552796642</v>
      </c>
      <c r="H117" s="127">
        <f t="shared" si="112"/>
        <v>2150.1255552796642</v>
      </c>
      <c r="J117" s="119" t="s">
        <v>12</v>
      </c>
      <c r="K117" s="134">
        <v>6831</v>
      </c>
      <c r="L117" s="134">
        <v>6061</v>
      </c>
      <c r="M117" s="134">
        <v>6167</v>
      </c>
      <c r="N117" s="134"/>
    </row>
    <row r="118" spans="1:14" ht="15.75" thickBot="1" x14ac:dyDescent="0.3">
      <c r="A118" s="119" t="s">
        <v>12</v>
      </c>
      <c r="B118" s="134">
        <f>'AJACCIO 2014'!BU14+'AJACCIO 2014'!BU31</f>
        <v>25553.919999999998</v>
      </c>
      <c r="C118" s="134">
        <f>'AJACCIO 2015'!BU14+'AJACCIO 2015'!BU31</f>
        <v>24755.360000000001</v>
      </c>
      <c r="D118" s="134">
        <f>'AJACCIO 2016'!BU14+'AJACCIO 2016'!BU14</f>
        <v>25553.919999999998</v>
      </c>
      <c r="E118" s="134"/>
      <c r="F118" s="127">
        <f t="shared" si="110"/>
        <v>25287.733333333334</v>
      </c>
      <c r="G118" s="127">
        <f t="shared" si="111"/>
        <v>461.04883096406621</v>
      </c>
      <c r="H118" s="127">
        <f t="shared" si="112"/>
        <v>461.04883096406621</v>
      </c>
      <c r="J118" s="119" t="s">
        <v>13</v>
      </c>
      <c r="K118" s="134">
        <v>7813</v>
      </c>
      <c r="L118" s="134">
        <v>8229</v>
      </c>
      <c r="M118" s="115">
        <v>7424</v>
      </c>
      <c r="N118" s="115"/>
    </row>
    <row r="119" spans="1:14" ht="16.5" thickTop="1" thickBot="1" x14ac:dyDescent="0.3">
      <c r="A119" s="119" t="s">
        <v>13</v>
      </c>
      <c r="B119" s="134">
        <f>'AJACCIO 2014'!BU15+'AJACCIO 2014'!BU32</f>
        <v>25553.919999999998</v>
      </c>
      <c r="C119" s="134">
        <f>'AJACCIO 2015'!BU15+'AJACCIO 2015'!BU32</f>
        <v>27949.599999999999</v>
      </c>
      <c r="D119" s="134">
        <f>'AJACCIO 2016'!BU15+'AJACCIO 2016'!BU15</f>
        <v>25553.919999999998</v>
      </c>
      <c r="E119" s="134"/>
      <c r="F119" s="127">
        <f t="shared" si="110"/>
        <v>26352.48</v>
      </c>
      <c r="G119" s="127">
        <f t="shared" si="111"/>
        <v>1383.1464928922028</v>
      </c>
      <c r="H119" s="127">
        <f t="shared" si="112"/>
        <v>1383.1464928922028</v>
      </c>
      <c r="J119" s="128" t="s">
        <v>0</v>
      </c>
      <c r="K119" s="129">
        <f>SUM(K107:K118)</f>
        <v>232812</v>
      </c>
      <c r="L119" s="129">
        <f>SUM(L107:L118)</f>
        <v>250954</v>
      </c>
      <c r="M119" s="129">
        <f>SUM(M107:M118)</f>
        <v>239921</v>
      </c>
      <c r="N119" s="129">
        <f>SUM(N107:N118)</f>
        <v>227708</v>
      </c>
    </row>
    <row r="120" spans="1:14" ht="16.5" thickTop="1" thickBot="1" x14ac:dyDescent="0.3">
      <c r="A120" s="128" t="s">
        <v>0</v>
      </c>
      <c r="B120" s="129">
        <f t="shared" ref="B120:D120" si="113">SUM(B108:B119)</f>
        <v>833126.24</v>
      </c>
      <c r="C120" s="129">
        <f t="shared" si="113"/>
        <v>841796.31999999983</v>
      </c>
      <c r="D120" s="129">
        <f t="shared" si="113"/>
        <v>848070.72000000009</v>
      </c>
      <c r="E120" s="129">
        <f>SUM(E108:E119)</f>
        <v>777455.20000000007</v>
      </c>
      <c r="F120" s="111"/>
      <c r="G120" s="112"/>
      <c r="H120" s="112"/>
    </row>
    <row r="121" spans="1:14" ht="15.75" thickTop="1" x14ac:dyDescent="0.25">
      <c r="A121" s="136" t="s">
        <v>72</v>
      </c>
      <c r="B121" s="136"/>
      <c r="C121" s="136"/>
      <c r="D121" s="136"/>
      <c r="E121" s="136"/>
      <c r="F121" s="127"/>
    </row>
    <row r="122" spans="1:14" x14ac:dyDescent="0.25">
      <c r="A122" s="130" t="s">
        <v>15</v>
      </c>
      <c r="B122" s="127">
        <f t="shared" ref="B122:E122" si="114">AVERAGE(B108:B110,B117:B119)</f>
        <v>33967.319999999985</v>
      </c>
      <c r="C122" s="127">
        <f t="shared" si="114"/>
        <v>34442.653333333335</v>
      </c>
      <c r="D122" s="127">
        <f t="shared" si="114"/>
        <v>34680.32</v>
      </c>
      <c r="E122" s="127">
        <f t="shared" si="114"/>
        <v>38245.319999999992</v>
      </c>
      <c r="F122" s="127">
        <f>AVERAGE(B122:D122)</f>
        <v>34363.431111111109</v>
      </c>
      <c r="G122" s="122"/>
      <c r="H122" s="131"/>
    </row>
    <row r="123" spans="1:14" x14ac:dyDescent="0.25">
      <c r="A123" s="130" t="s">
        <v>16</v>
      </c>
      <c r="B123" s="127">
        <f t="shared" ref="B123:E123" si="115">AVERAGE(B111:B116)</f>
        <v>104887.05333333333</v>
      </c>
      <c r="C123" s="127">
        <f t="shared" si="115"/>
        <v>105856.73333333334</v>
      </c>
      <c r="D123" s="127">
        <f t="shared" si="115"/>
        <v>106664.79999999999</v>
      </c>
      <c r="E123" s="127">
        <f t="shared" si="115"/>
        <v>104078.98666666668</v>
      </c>
      <c r="F123" s="127">
        <f>AVERAGE(B123:D123)</f>
        <v>105802.86222222222</v>
      </c>
      <c r="G123" s="122"/>
    </row>
    <row r="124" spans="1:14" ht="15.75" thickBot="1" x14ac:dyDescent="0.3"/>
    <row r="125" spans="1:14" ht="17.25" thickTop="1" thickBot="1" x14ac:dyDescent="0.3">
      <c r="A125" s="140" t="s">
        <v>223</v>
      </c>
      <c r="B125" s="141"/>
      <c r="C125" s="141"/>
      <c r="D125" s="141"/>
      <c r="E125" s="141"/>
      <c r="J125" s="140" t="s">
        <v>176</v>
      </c>
      <c r="K125" s="141"/>
      <c r="L125" s="141"/>
      <c r="M125" s="141"/>
      <c r="N125" s="141"/>
    </row>
    <row r="126" spans="1:14" ht="16.5" thickTop="1" x14ac:dyDescent="0.25">
      <c r="A126" s="124"/>
      <c r="B126" s="125">
        <v>2014</v>
      </c>
      <c r="C126" s="125">
        <v>2015</v>
      </c>
      <c r="D126" s="125">
        <v>2016</v>
      </c>
      <c r="E126" s="125">
        <v>2017</v>
      </c>
      <c r="J126" s="124"/>
      <c r="K126" s="125">
        <v>2014</v>
      </c>
      <c r="L126" s="125">
        <v>2015</v>
      </c>
      <c r="M126" s="125">
        <v>2016</v>
      </c>
      <c r="N126" s="125">
        <v>2017</v>
      </c>
    </row>
    <row r="127" spans="1:14" x14ac:dyDescent="0.25">
      <c r="A127" s="119" t="s">
        <v>2</v>
      </c>
      <c r="B127" s="161">
        <f>K127*Générale!$B$4</f>
        <v>0</v>
      </c>
      <c r="C127" s="161">
        <f>L127*Générale!$B$4</f>
        <v>2490</v>
      </c>
      <c r="D127" s="161">
        <f>M127*Générale!$B$4</f>
        <v>1686</v>
      </c>
      <c r="E127" s="161">
        <f>N127*Générale!$B$4</f>
        <v>0</v>
      </c>
      <c r="J127" s="119" t="s">
        <v>2</v>
      </c>
      <c r="K127" s="161">
        <v>0</v>
      </c>
      <c r="L127" s="161">
        <v>830</v>
      </c>
      <c r="M127" s="117">
        <v>562</v>
      </c>
      <c r="N127" s="118">
        <v>0</v>
      </c>
    </row>
    <row r="128" spans="1:14" x14ac:dyDescent="0.25">
      <c r="A128" s="119" t="s">
        <v>3</v>
      </c>
      <c r="B128" s="161">
        <f>K128*Générale!$B$4</f>
        <v>3633</v>
      </c>
      <c r="C128" s="161">
        <f>L128*Générale!$B$4</f>
        <v>267</v>
      </c>
      <c r="D128" s="161">
        <f>M128*Générale!$B$4</f>
        <v>2127</v>
      </c>
      <c r="E128" s="161">
        <f>N128*Générale!$B$4</f>
        <v>1572</v>
      </c>
      <c r="J128" s="119" t="s">
        <v>3</v>
      </c>
      <c r="K128" s="161">
        <v>1211</v>
      </c>
      <c r="L128" s="161">
        <v>89</v>
      </c>
      <c r="M128" s="161">
        <v>709</v>
      </c>
      <c r="N128" s="161">
        <v>524</v>
      </c>
    </row>
    <row r="129" spans="1:14" x14ac:dyDescent="0.25">
      <c r="A129" s="119" t="s">
        <v>4</v>
      </c>
      <c r="B129" s="161">
        <f>K129*Générale!$B$4</f>
        <v>5682</v>
      </c>
      <c r="C129" s="161">
        <f>L129*Générale!$B$4</f>
        <v>0</v>
      </c>
      <c r="D129" s="161">
        <f>M129*Générale!$B$4</f>
        <v>1782</v>
      </c>
      <c r="E129" s="161">
        <f>N129*Générale!$B$4</f>
        <v>1203</v>
      </c>
      <c r="J129" s="119" t="s">
        <v>4</v>
      </c>
      <c r="K129" s="161">
        <v>1894</v>
      </c>
      <c r="L129" s="161">
        <v>0</v>
      </c>
      <c r="M129" s="161">
        <v>594</v>
      </c>
      <c r="N129" s="161">
        <v>401</v>
      </c>
    </row>
    <row r="130" spans="1:14" x14ac:dyDescent="0.25">
      <c r="A130" s="119" t="s">
        <v>5</v>
      </c>
      <c r="B130" s="161">
        <f>K130*Générale!$B$4</f>
        <v>3663</v>
      </c>
      <c r="C130" s="161">
        <f>L130*Générale!$B$4</f>
        <v>1782</v>
      </c>
      <c r="D130" s="161">
        <f>M130*Générale!$B$4</f>
        <v>5922</v>
      </c>
      <c r="E130" s="161">
        <f>N130*Générale!$B$4</f>
        <v>6870</v>
      </c>
      <c r="J130" s="119" t="s">
        <v>5</v>
      </c>
      <c r="K130" s="161">
        <v>1221</v>
      </c>
      <c r="L130" s="161">
        <v>594</v>
      </c>
      <c r="M130" s="161">
        <v>1974</v>
      </c>
      <c r="N130" s="161">
        <v>2290</v>
      </c>
    </row>
    <row r="131" spans="1:14" x14ac:dyDescent="0.25">
      <c r="A131" s="119" t="s">
        <v>6</v>
      </c>
      <c r="B131" s="161">
        <f>K131*Générale!$B$4</f>
        <v>10017</v>
      </c>
      <c r="C131" s="161">
        <f>L131*Générale!$B$4</f>
        <v>10404</v>
      </c>
      <c r="D131" s="161">
        <f>M131*Générale!$B$4</f>
        <v>3939</v>
      </c>
      <c r="E131" s="161">
        <f>N131*Générale!$B$4</f>
        <v>4686</v>
      </c>
      <c r="J131" s="119" t="s">
        <v>6</v>
      </c>
      <c r="K131" s="161">
        <v>3339</v>
      </c>
      <c r="L131" s="161">
        <v>3468</v>
      </c>
      <c r="M131" s="161">
        <v>1313</v>
      </c>
      <c r="N131" s="161">
        <v>1562</v>
      </c>
    </row>
    <row r="132" spans="1:14" x14ac:dyDescent="0.25">
      <c r="A132" s="119" t="s">
        <v>7</v>
      </c>
      <c r="B132" s="161">
        <f>K132*Générale!$B$4</f>
        <v>15549</v>
      </c>
      <c r="C132" s="161">
        <f>L132*Générale!$B$4</f>
        <v>14637</v>
      </c>
      <c r="D132" s="161">
        <f>M132*Générale!$B$4</f>
        <v>14388</v>
      </c>
      <c r="E132" s="161">
        <f>N132*Générale!$B$4</f>
        <v>9213</v>
      </c>
      <c r="J132" s="119" t="s">
        <v>7</v>
      </c>
      <c r="K132" s="161">
        <v>5183</v>
      </c>
      <c r="L132" s="161">
        <v>4879</v>
      </c>
      <c r="M132" s="161">
        <v>4796</v>
      </c>
      <c r="N132" s="161">
        <v>3071</v>
      </c>
    </row>
    <row r="133" spans="1:14" x14ac:dyDescent="0.25">
      <c r="A133" s="119" t="s">
        <v>8</v>
      </c>
      <c r="B133" s="161">
        <f>K133*Générale!$B$4</f>
        <v>35730</v>
      </c>
      <c r="C133" s="161">
        <f>L133*Générale!$B$4</f>
        <v>33537</v>
      </c>
      <c r="D133" s="161">
        <f>M133*Générale!$B$4</f>
        <v>43155</v>
      </c>
      <c r="E133" s="161">
        <f>N133*Générale!$B$4</f>
        <v>40194</v>
      </c>
      <c r="J133" s="119" t="s">
        <v>8</v>
      </c>
      <c r="K133" s="161">
        <v>11910</v>
      </c>
      <c r="L133" s="161">
        <v>11179</v>
      </c>
      <c r="M133" s="161">
        <v>14385</v>
      </c>
      <c r="N133" s="161">
        <v>13398</v>
      </c>
    </row>
    <row r="134" spans="1:14" x14ac:dyDescent="0.25">
      <c r="A134" s="119" t="s">
        <v>9</v>
      </c>
      <c r="B134" s="161">
        <f>K134*Générale!$B$4</f>
        <v>65778</v>
      </c>
      <c r="C134" s="161">
        <f>L134*Générale!$B$4</f>
        <v>51669</v>
      </c>
      <c r="D134" s="161">
        <f>M134*Générale!$B$4</f>
        <v>41181</v>
      </c>
      <c r="E134" s="161">
        <f>N134*Générale!$B$4</f>
        <v>55380</v>
      </c>
      <c r="J134" s="119" t="s">
        <v>9</v>
      </c>
      <c r="K134" s="161">
        <v>21926</v>
      </c>
      <c r="L134" s="161">
        <v>17223</v>
      </c>
      <c r="M134" s="161">
        <v>13727</v>
      </c>
      <c r="N134" s="161">
        <v>18460</v>
      </c>
    </row>
    <row r="135" spans="1:14" x14ac:dyDescent="0.25">
      <c r="A135" s="119" t="s">
        <v>10</v>
      </c>
      <c r="B135" s="161">
        <f>K135*Générale!$B$4</f>
        <v>13476</v>
      </c>
      <c r="C135" s="161">
        <f>L135*Générale!$B$4</f>
        <v>18912</v>
      </c>
      <c r="D135" s="161">
        <f>M135*Générale!$B$4</f>
        <v>14832</v>
      </c>
      <c r="E135" s="161">
        <f>N135*Générale!$B$4</f>
        <v>15111</v>
      </c>
      <c r="J135" s="119" t="s">
        <v>10</v>
      </c>
      <c r="K135" s="161">
        <v>4492</v>
      </c>
      <c r="L135" s="161">
        <v>6304</v>
      </c>
      <c r="M135" s="161">
        <v>4944</v>
      </c>
      <c r="N135" s="161">
        <v>5037</v>
      </c>
    </row>
    <row r="136" spans="1:14" x14ac:dyDescent="0.25">
      <c r="A136" s="119" t="s">
        <v>11</v>
      </c>
      <c r="B136" s="161">
        <f>K136*Générale!$B$4</f>
        <v>1188</v>
      </c>
      <c r="C136" s="161">
        <f>L136*Générale!$B$4</f>
        <v>1485</v>
      </c>
      <c r="D136" s="161">
        <f>M136*Générale!$B$4</f>
        <v>4668</v>
      </c>
      <c r="E136" s="161">
        <f>N136*Générale!$B$4</f>
        <v>0</v>
      </c>
      <c r="J136" s="119" t="s">
        <v>11</v>
      </c>
      <c r="K136" s="161">
        <v>396</v>
      </c>
      <c r="L136" s="161">
        <v>495</v>
      </c>
      <c r="M136" s="161">
        <v>1556</v>
      </c>
      <c r="N136" s="134"/>
    </row>
    <row r="137" spans="1:14" x14ac:dyDescent="0.25">
      <c r="A137" s="119" t="s">
        <v>12</v>
      </c>
      <c r="B137" s="161">
        <f>K137*Générale!$B$4</f>
        <v>1011</v>
      </c>
      <c r="C137" s="161">
        <f>L137*Générale!$B$4</f>
        <v>1809</v>
      </c>
      <c r="D137" s="161">
        <f>M137*Générale!$B$4</f>
        <v>981</v>
      </c>
      <c r="E137" s="161">
        <f>N137*Générale!$B$4</f>
        <v>0</v>
      </c>
      <c r="J137" s="119" t="s">
        <v>12</v>
      </c>
      <c r="K137" s="161">
        <v>337</v>
      </c>
      <c r="L137" s="161">
        <v>603</v>
      </c>
      <c r="M137" s="161">
        <v>327</v>
      </c>
      <c r="N137" s="134"/>
    </row>
    <row r="138" spans="1:14" ht="15.75" thickBot="1" x14ac:dyDescent="0.3">
      <c r="A138" s="119" t="s">
        <v>13</v>
      </c>
      <c r="B138" s="161">
        <f>K138*Générale!$B$4</f>
        <v>714</v>
      </c>
      <c r="C138" s="161">
        <f>L138*Générale!$B$4</f>
        <v>1824</v>
      </c>
      <c r="D138" s="161">
        <f>M138*Générale!$B$4</f>
        <v>1587</v>
      </c>
      <c r="E138" s="161">
        <f>N138*Générale!$B$4</f>
        <v>0</v>
      </c>
      <c r="J138" s="119" t="s">
        <v>13</v>
      </c>
      <c r="K138" s="161">
        <v>238</v>
      </c>
      <c r="L138" s="161">
        <v>608</v>
      </c>
      <c r="M138" s="160">
        <v>529</v>
      </c>
      <c r="N138" s="115"/>
    </row>
    <row r="139" spans="1:14" ht="16.5" thickTop="1" thickBot="1" x14ac:dyDescent="0.3">
      <c r="A139" s="128" t="s">
        <v>0</v>
      </c>
      <c r="B139" s="129">
        <f>SUM(B128:B138)</f>
        <v>156441</v>
      </c>
      <c r="C139" s="129">
        <f>SUM(C127:C138)</f>
        <v>138816</v>
      </c>
      <c r="D139" s="129">
        <f>SUM(D128:D138)</f>
        <v>134562</v>
      </c>
      <c r="E139" s="129">
        <f>SUM(E128:E138)</f>
        <v>134229</v>
      </c>
      <c r="J139" s="128" t="s">
        <v>0</v>
      </c>
      <c r="K139" s="129">
        <f>SUM(K128:K138)</f>
        <v>52147</v>
      </c>
      <c r="L139" s="129">
        <f>SUM(L127:L138)</f>
        <v>46272</v>
      </c>
      <c r="M139" s="129">
        <f>SUM(M128:M138)</f>
        <v>44854</v>
      </c>
      <c r="N139" s="129">
        <f>SUM(N128:N138)</f>
        <v>44743</v>
      </c>
    </row>
    <row r="140" spans="1:14" ht="15.75" thickTop="1" x14ac:dyDescent="0.25">
      <c r="A140" s="136" t="s">
        <v>14</v>
      </c>
      <c r="B140" s="136"/>
      <c r="C140" s="136"/>
      <c r="D140" s="136"/>
      <c r="E140" s="136"/>
      <c r="J140" s="136" t="s">
        <v>14</v>
      </c>
      <c r="K140" s="136"/>
      <c r="L140" s="136"/>
      <c r="M140" s="136"/>
      <c r="N140" s="136"/>
    </row>
    <row r="141" spans="1:14" ht="15.75" thickBot="1" x14ac:dyDescent="0.3"/>
    <row r="142" spans="1:14" ht="17.25" thickTop="1" thickBot="1" x14ac:dyDescent="0.3">
      <c r="A142" s="140" t="s">
        <v>227</v>
      </c>
      <c r="B142" s="142"/>
    </row>
    <row r="143" spans="1:14" ht="16.5" thickTop="1" x14ac:dyDescent="0.25">
      <c r="A143" s="124"/>
      <c r="B143" s="125">
        <v>2014</v>
      </c>
      <c r="C143" s="125">
        <v>2015</v>
      </c>
      <c r="D143" s="125">
        <v>2016</v>
      </c>
      <c r="E143" s="125">
        <v>2017</v>
      </c>
    </row>
    <row r="144" spans="1:14" x14ac:dyDescent="0.25">
      <c r="A144" s="119" t="s">
        <v>2</v>
      </c>
      <c r="B144" s="77">
        <f>B161*Générale!$B$4</f>
        <v>14961</v>
      </c>
      <c r="C144" s="77">
        <f>C161*Générale!$B$4</f>
        <v>2997</v>
      </c>
      <c r="D144" s="77">
        <f>D161*Générale!$B$4</f>
        <v>15144</v>
      </c>
      <c r="E144" s="77">
        <f>E161*Générale!$B$4</f>
        <v>11034</v>
      </c>
    </row>
    <row r="145" spans="1:5" x14ac:dyDescent="0.25">
      <c r="A145" s="119" t="s">
        <v>3</v>
      </c>
      <c r="B145" s="77">
        <f>B162*Générale!$B$4</f>
        <v>16287</v>
      </c>
      <c r="C145" s="77">
        <f>C162*Générale!$B$4</f>
        <v>3000</v>
      </c>
      <c r="D145" s="77">
        <f>D162*Générale!$B$4</f>
        <v>5793</v>
      </c>
      <c r="E145" s="77">
        <f>E162*Générale!$B$4</f>
        <v>8360</v>
      </c>
    </row>
    <row r="146" spans="1:5" x14ac:dyDescent="0.25">
      <c r="A146" s="119" t="s">
        <v>4</v>
      </c>
      <c r="B146" s="77">
        <f>B163*Générale!$B$4</f>
        <v>19128</v>
      </c>
      <c r="C146" s="77">
        <f>C163*Générale!$B$4</f>
        <v>0</v>
      </c>
      <c r="D146" s="77">
        <f>D163*Générale!$B$4</f>
        <v>9144</v>
      </c>
      <c r="E146" s="77">
        <f>E163*Générale!$B$4</f>
        <v>9424</v>
      </c>
    </row>
    <row r="147" spans="1:5" x14ac:dyDescent="0.25">
      <c r="A147" s="119" t="s">
        <v>5</v>
      </c>
      <c r="B147" s="77">
        <f>B164*Générale!$B$4</f>
        <v>11787</v>
      </c>
      <c r="C147" s="77">
        <f>C164*Générale!$B$4</f>
        <v>3150</v>
      </c>
      <c r="D147" s="77">
        <f>D164*Générale!$B$4</f>
        <v>17982</v>
      </c>
      <c r="E147" s="77">
        <f>E164*Générale!$B$4</f>
        <v>10973</v>
      </c>
    </row>
    <row r="148" spans="1:5" x14ac:dyDescent="0.25">
      <c r="A148" s="119" t="s">
        <v>6</v>
      </c>
      <c r="B148" s="77">
        <f>B165*Générale!$B$4</f>
        <v>21438</v>
      </c>
      <c r="C148" s="77">
        <f>C165*Générale!$B$4</f>
        <v>23676</v>
      </c>
      <c r="D148" s="77">
        <f>D165*Générale!$B$4</f>
        <v>14682</v>
      </c>
      <c r="E148" s="77">
        <f>E165*Générale!$B$4</f>
        <v>19932</v>
      </c>
    </row>
    <row r="149" spans="1:5" x14ac:dyDescent="0.25">
      <c r="A149" s="119" t="s">
        <v>7</v>
      </c>
      <c r="B149" s="77">
        <f>B166*Générale!$B$4</f>
        <v>33324</v>
      </c>
      <c r="C149" s="77">
        <f>C166*Générale!$B$4</f>
        <v>33198</v>
      </c>
      <c r="D149" s="77">
        <f>D166*Générale!$B$4</f>
        <v>30330</v>
      </c>
      <c r="E149" s="77">
        <f>E166*Générale!$B$4</f>
        <v>32284</v>
      </c>
    </row>
    <row r="150" spans="1:5" x14ac:dyDescent="0.25">
      <c r="A150" s="119" t="s">
        <v>8</v>
      </c>
      <c r="B150" s="77">
        <f>B167*Générale!$B$4</f>
        <v>57561</v>
      </c>
      <c r="C150" s="77">
        <f>C167*Générale!$B$4</f>
        <v>44937</v>
      </c>
      <c r="D150" s="77">
        <f>D167*Générale!$B$4</f>
        <v>57735</v>
      </c>
      <c r="E150" s="77">
        <f>E167*Générale!$B$4</f>
        <v>53411</v>
      </c>
    </row>
    <row r="151" spans="1:5" x14ac:dyDescent="0.25">
      <c r="A151" s="119" t="s">
        <v>9</v>
      </c>
      <c r="B151" s="77">
        <f>B168*Générale!$B$4</f>
        <v>89643</v>
      </c>
      <c r="C151" s="77">
        <f>C168*Générale!$B$4</f>
        <v>58542</v>
      </c>
      <c r="D151" s="77">
        <f>D168*Générale!$B$4</f>
        <v>44703</v>
      </c>
      <c r="E151" s="77">
        <f>E168*Générale!$B$4</f>
        <v>64296</v>
      </c>
    </row>
    <row r="152" spans="1:5" x14ac:dyDescent="0.25">
      <c r="A152" s="119" t="s">
        <v>10</v>
      </c>
      <c r="B152" s="77">
        <f>B169*Générale!$B$4</f>
        <v>25803</v>
      </c>
      <c r="C152" s="77">
        <f>C169*Générale!$B$4</f>
        <v>28647</v>
      </c>
      <c r="D152" s="77">
        <f>D169*Générale!$B$4</f>
        <v>22986</v>
      </c>
      <c r="E152" s="77">
        <f>E169*Générale!$B$4</f>
        <v>25812</v>
      </c>
    </row>
    <row r="153" spans="1:5" x14ac:dyDescent="0.25">
      <c r="A153" s="119" t="s">
        <v>11</v>
      </c>
      <c r="B153" s="77">
        <f>B170*Générale!$B$4</f>
        <v>2895</v>
      </c>
      <c r="C153" s="77">
        <f>C170*Générale!$B$4</f>
        <v>4266</v>
      </c>
      <c r="D153" s="77">
        <f>D170*Générale!$B$4</f>
        <v>14100</v>
      </c>
      <c r="E153" s="77">
        <f>E170*Générale!$B$4</f>
        <v>7087</v>
      </c>
    </row>
    <row r="154" spans="1:5" x14ac:dyDescent="0.25">
      <c r="A154" s="119" t="s">
        <v>12</v>
      </c>
      <c r="B154" s="77">
        <f>B171*Générale!$B$4</f>
        <v>2949</v>
      </c>
      <c r="C154" s="77">
        <f>C171*Générale!$B$4</f>
        <v>8637</v>
      </c>
      <c r="D154" s="77">
        <f>D171*Générale!$B$4</f>
        <v>8739</v>
      </c>
      <c r="E154" s="77">
        <f>E171*Générale!$B$4</f>
        <v>0</v>
      </c>
    </row>
    <row r="155" spans="1:5" ht="15.75" thickBot="1" x14ac:dyDescent="0.3">
      <c r="A155" s="139" t="s">
        <v>13</v>
      </c>
      <c r="B155" s="43">
        <f>B172*Générale!$B$4</f>
        <v>1575</v>
      </c>
      <c r="C155" s="43">
        <f>C172*Générale!$B$4</f>
        <v>13464</v>
      </c>
      <c r="D155" s="43">
        <f>D172*Générale!$B$4</f>
        <v>10110</v>
      </c>
      <c r="E155" s="43">
        <f>E172*Générale!$B$4</f>
        <v>0</v>
      </c>
    </row>
    <row r="156" spans="1:5" ht="16.5" thickTop="1" thickBot="1" x14ac:dyDescent="0.3">
      <c r="A156" s="138" t="s">
        <v>0</v>
      </c>
      <c r="B156" s="137">
        <f t="shared" ref="B156:D156" si="116">SUM(B144:B155)</f>
        <v>297351</v>
      </c>
      <c r="C156" s="137">
        <f t="shared" si="116"/>
        <v>224514</v>
      </c>
      <c r="D156" s="137">
        <f t="shared" si="116"/>
        <v>251448</v>
      </c>
      <c r="E156" s="137">
        <f>SUM(E144:E155)</f>
        <v>242613</v>
      </c>
    </row>
    <row r="157" spans="1:5" ht="15.75" thickTop="1" x14ac:dyDescent="0.25">
      <c r="A157" s="1" t="s">
        <v>132</v>
      </c>
      <c r="B157" s="1"/>
    </row>
    <row r="158" spans="1:5" ht="15.75" thickBot="1" x14ac:dyDescent="0.3"/>
    <row r="159" spans="1:5" ht="17.25" thickTop="1" thickBot="1" x14ac:dyDescent="0.3">
      <c r="A159" s="140" t="s">
        <v>193</v>
      </c>
      <c r="B159" s="142"/>
    </row>
    <row r="160" spans="1:5" ht="16.5" thickTop="1" x14ac:dyDescent="0.25">
      <c r="A160" s="124"/>
      <c r="B160" s="125">
        <v>2014</v>
      </c>
      <c r="C160" s="125">
        <v>2015</v>
      </c>
      <c r="D160" s="125">
        <v>2016</v>
      </c>
      <c r="E160" s="125">
        <v>2017</v>
      </c>
    </row>
    <row r="161" spans="1:5" x14ac:dyDescent="0.25">
      <c r="A161" s="119" t="s">
        <v>2</v>
      </c>
      <c r="B161" s="77">
        <v>4987</v>
      </c>
      <c r="C161" s="77">
        <v>999</v>
      </c>
      <c r="D161" s="77">
        <v>5048</v>
      </c>
      <c r="E161" s="180">
        <f>AVERAGE(B161:D161)</f>
        <v>3678</v>
      </c>
    </row>
    <row r="162" spans="1:5" x14ac:dyDescent="0.25">
      <c r="A162" s="119" t="s">
        <v>3</v>
      </c>
      <c r="B162" s="77">
        <v>5429</v>
      </c>
      <c r="C162" s="77">
        <v>1000</v>
      </c>
      <c r="D162" s="77">
        <v>1931</v>
      </c>
      <c r="E162" s="180">
        <f t="shared" ref="E162:E170" si="117">AVERAGE(B162:D162)</f>
        <v>2786.6666666666665</v>
      </c>
    </row>
    <row r="163" spans="1:5" x14ac:dyDescent="0.25">
      <c r="A163" s="119" t="s">
        <v>4</v>
      </c>
      <c r="B163" s="77">
        <v>6376</v>
      </c>
      <c r="C163" s="77">
        <v>0</v>
      </c>
      <c r="D163" s="77">
        <v>3048</v>
      </c>
      <c r="E163" s="180">
        <f t="shared" si="117"/>
        <v>3141.3333333333335</v>
      </c>
    </row>
    <row r="164" spans="1:5" x14ac:dyDescent="0.25">
      <c r="A164" s="119" t="s">
        <v>5</v>
      </c>
      <c r="B164" s="77">
        <v>3929</v>
      </c>
      <c r="C164" s="77">
        <v>1050</v>
      </c>
      <c r="D164" s="77">
        <v>5994</v>
      </c>
      <c r="E164" s="180">
        <f t="shared" si="117"/>
        <v>3657.6666666666665</v>
      </c>
    </row>
    <row r="165" spans="1:5" x14ac:dyDescent="0.25">
      <c r="A165" s="119" t="s">
        <v>6</v>
      </c>
      <c r="B165" s="77">
        <v>7146</v>
      </c>
      <c r="C165" s="77">
        <v>7892</v>
      </c>
      <c r="D165" s="77">
        <v>4894</v>
      </c>
      <c r="E165" s="180">
        <f t="shared" si="117"/>
        <v>6644</v>
      </c>
    </row>
    <row r="166" spans="1:5" x14ac:dyDescent="0.25">
      <c r="A166" s="119" t="s">
        <v>7</v>
      </c>
      <c r="B166" s="77">
        <f>11108</f>
        <v>11108</v>
      </c>
      <c r="C166" s="77">
        <v>11066</v>
      </c>
      <c r="D166" s="77">
        <v>10110</v>
      </c>
      <c r="E166" s="180">
        <f t="shared" si="117"/>
        <v>10761.333333333334</v>
      </c>
    </row>
    <row r="167" spans="1:5" x14ac:dyDescent="0.25">
      <c r="A167" s="119" t="s">
        <v>8</v>
      </c>
      <c r="B167" s="77">
        <f>13532+5655</f>
        <v>19187</v>
      </c>
      <c r="C167" s="77">
        <v>14979</v>
      </c>
      <c r="D167" s="77">
        <v>19245</v>
      </c>
      <c r="E167" s="180">
        <f t="shared" si="117"/>
        <v>17803.666666666668</v>
      </c>
    </row>
    <row r="168" spans="1:5" x14ac:dyDescent="0.25">
      <c r="A168" s="119" t="s">
        <v>9</v>
      </c>
      <c r="B168" s="83">
        <f>20823+9058</f>
        <v>29881</v>
      </c>
      <c r="C168" s="77">
        <v>19514</v>
      </c>
      <c r="D168" s="77">
        <v>14901</v>
      </c>
      <c r="E168" s="180">
        <f t="shared" si="117"/>
        <v>21432</v>
      </c>
    </row>
    <row r="169" spans="1:5" x14ac:dyDescent="0.25">
      <c r="A169" s="119" t="s">
        <v>10</v>
      </c>
      <c r="B169" s="83">
        <v>8601</v>
      </c>
      <c r="C169" s="77">
        <v>9549</v>
      </c>
      <c r="D169" s="77">
        <v>7662</v>
      </c>
      <c r="E169" s="180">
        <f t="shared" si="117"/>
        <v>8604</v>
      </c>
    </row>
    <row r="170" spans="1:5" x14ac:dyDescent="0.25">
      <c r="A170" s="119" t="s">
        <v>11</v>
      </c>
      <c r="B170" s="83">
        <v>965</v>
      </c>
      <c r="C170" s="77">
        <v>1422</v>
      </c>
      <c r="D170" s="77">
        <v>4700</v>
      </c>
      <c r="E170" s="180">
        <f t="shared" si="117"/>
        <v>2362.3333333333335</v>
      </c>
    </row>
    <row r="171" spans="1:5" x14ac:dyDescent="0.25">
      <c r="A171" s="119" t="s">
        <v>12</v>
      </c>
      <c r="B171" s="77">
        <v>983</v>
      </c>
      <c r="C171" s="77">
        <v>2879</v>
      </c>
      <c r="D171" s="77">
        <v>2913</v>
      </c>
      <c r="E171" s="180"/>
    </row>
    <row r="172" spans="1:5" ht="15.75" thickBot="1" x14ac:dyDescent="0.3">
      <c r="A172" s="139" t="s">
        <v>13</v>
      </c>
      <c r="B172" s="43">
        <v>525</v>
      </c>
      <c r="C172" s="43">
        <v>4488</v>
      </c>
      <c r="D172" s="43">
        <v>3370</v>
      </c>
      <c r="E172" s="180"/>
    </row>
    <row r="173" spans="1:5" ht="16.5" thickTop="1" thickBot="1" x14ac:dyDescent="0.3">
      <c r="A173" s="138" t="s">
        <v>0</v>
      </c>
      <c r="B173" s="137">
        <f t="shared" ref="B173:D173" si="118">SUM(B161:B172)</f>
        <v>99117</v>
      </c>
      <c r="C173" s="137">
        <f t="shared" si="118"/>
        <v>74838</v>
      </c>
      <c r="D173" s="137">
        <f t="shared" si="118"/>
        <v>83816</v>
      </c>
      <c r="E173" s="137">
        <f>SUM(E161:E172)</f>
        <v>80871</v>
      </c>
    </row>
    <row r="174" spans="1:5" ht="15.75" thickTop="1" x14ac:dyDescent="0.25">
      <c r="A174" s="1" t="s">
        <v>132</v>
      </c>
      <c r="B174" s="1"/>
    </row>
  </sheetData>
  <mergeCells count="2">
    <mergeCell ref="A157:B157"/>
    <mergeCell ref="A174:B174"/>
  </mergeCells>
  <conditionalFormatting sqref="AC22:AG34">
    <cfRule type="cellIs" dxfId="53" priority="9" operator="lessThan">
      <formula>0</formula>
    </cfRule>
  </conditionalFormatting>
  <conditionalFormatting sqref="AL3:AP16">
    <cfRule type="cellIs" dxfId="52" priority="8" operator="greaterThan">
      <formula>1</formula>
    </cfRule>
  </conditionalFormatting>
  <conditionalFormatting sqref="T58:X70">
    <cfRule type="cellIs" dxfId="51" priority="6" operator="lessThan">
      <formula>0</formula>
    </cfRule>
  </conditionalFormatting>
  <conditionalFormatting sqref="T74:X86">
    <cfRule type="cellIs" dxfId="50" priority="5" operator="lessThan">
      <formula>0</formula>
    </cfRule>
  </conditionalFormatting>
  <conditionalFormatting sqref="AD58:AG70">
    <cfRule type="cellIs" dxfId="49" priority="4" operator="greaterThan">
      <formula>0</formula>
    </cfRule>
  </conditionalFormatting>
  <conditionalFormatting sqref="AD74:AG86">
    <cfRule type="cellIs" dxfId="48" priority="3" operator="greaterThan">
      <formula>0</formula>
    </cfRule>
  </conditionalFormatting>
  <conditionalFormatting sqref="AC41:AF53">
    <cfRule type="cellIs" dxfId="47" priority="2" operator="greaterThan">
      <formula>0</formula>
    </cfRule>
  </conditionalFormatting>
  <conditionalFormatting sqref="T3:W14">
    <cfRule type="cellIs" dxfId="46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"/>
  <sheetViews>
    <sheetView topLeftCell="K1" zoomScale="80" zoomScaleNormal="80" workbookViewId="0">
      <selection activeCell="S1" sqref="S1"/>
    </sheetView>
  </sheetViews>
  <sheetFormatPr baseColWidth="10" defaultColWidth="11.42578125" defaultRowHeight="15" x14ac:dyDescent="0.25"/>
  <cols>
    <col min="1" max="1" width="13" style="117" customWidth="1"/>
    <col min="2" max="9" width="11.42578125" style="117"/>
    <col min="10" max="10" width="14.140625" style="117" customWidth="1"/>
    <col min="11" max="11" width="17.42578125" style="117" customWidth="1"/>
    <col min="12" max="12" width="14.140625" style="117" customWidth="1"/>
    <col min="13" max="13" width="17.7109375" style="117" customWidth="1"/>
    <col min="14" max="14" width="18.28515625" style="117" customWidth="1"/>
    <col min="15" max="16384" width="11.42578125" style="117"/>
  </cols>
  <sheetData>
    <row r="1" spans="1:35" ht="17.25" thickTop="1" thickBot="1" x14ac:dyDescent="0.3">
      <c r="A1" s="140" t="s">
        <v>68</v>
      </c>
      <c r="B1" s="142"/>
      <c r="J1" s="140" t="s">
        <v>124</v>
      </c>
      <c r="K1" s="142"/>
      <c r="S1" s="140" t="s">
        <v>257</v>
      </c>
      <c r="T1" s="142"/>
      <c r="AB1" s="140" t="s">
        <v>104</v>
      </c>
      <c r="AC1" s="142"/>
    </row>
    <row r="2" spans="1:35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117" t="s">
        <v>74</v>
      </c>
      <c r="Q2" s="117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86" t="s">
        <v>74</v>
      </c>
      <c r="Z2" s="86" t="s">
        <v>75</v>
      </c>
      <c r="AB2" s="124"/>
      <c r="AC2" s="125">
        <v>2014</v>
      </c>
      <c r="AD2" s="125">
        <v>2015</v>
      </c>
      <c r="AE2" s="125">
        <v>2016</v>
      </c>
      <c r="AF2" s="125">
        <v>2017</v>
      </c>
      <c r="AG2" s="126" t="s">
        <v>1</v>
      </c>
      <c r="AH2" s="86" t="s">
        <v>74</v>
      </c>
      <c r="AI2" s="86" t="s">
        <v>75</v>
      </c>
    </row>
    <row r="3" spans="1:35" x14ac:dyDescent="0.25">
      <c r="A3" s="119" t="s">
        <v>2</v>
      </c>
      <c r="B3" s="132">
        <f>'BASTIA 2014'!AK4+'BASTIA 2014'!AK21</f>
        <v>143279</v>
      </c>
      <c r="C3" s="132">
        <f>'BASTIA 2015'!AK4+'BASTIA 2015'!AK21</f>
        <v>126227</v>
      </c>
      <c r="D3" s="132">
        <f>'BASTIA 2016'!AK4+'BASTIA 2016'!AK21</f>
        <v>134017</v>
      </c>
      <c r="E3" s="42">
        <f>'BASTIA 2017'!AK4+'BASTIA 2017'!AK21</f>
        <v>119306</v>
      </c>
      <c r="F3" s="127">
        <f t="shared" ref="F3:F14" si="0">AVERAGE(B3:E3)</f>
        <v>130707.25</v>
      </c>
      <c r="G3" s="127">
        <f t="shared" ref="G3:G14" si="1">STDEVA(B3:E3)</f>
        <v>10312.847727470817</v>
      </c>
      <c r="H3" s="127">
        <f t="shared" ref="H3:H14" si="2">STDEVA(B3:E3)</f>
        <v>10312.847727470817</v>
      </c>
      <c r="J3" s="119" t="s">
        <v>2</v>
      </c>
      <c r="K3" s="41">
        <f t="shared" ref="K3:N14" si="3">B22/B3</f>
        <v>0.17670419251948993</v>
      </c>
      <c r="L3" s="41">
        <f t="shared" si="3"/>
        <v>0.18177568982864206</v>
      </c>
      <c r="M3" s="41">
        <f t="shared" si="3"/>
        <v>0.15833065954319228</v>
      </c>
      <c r="N3" s="41">
        <f t="shared" si="3"/>
        <v>0.14606138836269761</v>
      </c>
      <c r="O3" s="122">
        <f>AVERAGE(K3:N3)</f>
        <v>0.16571798256350545</v>
      </c>
      <c r="P3" s="123">
        <f>MAX(K3:N3)</f>
        <v>0.18177568982864206</v>
      </c>
      <c r="Q3" s="123">
        <f>MIN(K3:N3)</f>
        <v>0.14606138836269761</v>
      </c>
      <c r="S3" s="119" t="s">
        <v>2</v>
      </c>
      <c r="T3" s="41">
        <f t="shared" ref="T3:T12" si="4">(B74+B58)/(B3+B106)</f>
        <v>0.21031545933605589</v>
      </c>
      <c r="U3" s="41">
        <f t="shared" ref="U3:U12" si="5">(C74+C58)/(C3+C106)</f>
        <v>0.23655149111731547</v>
      </c>
      <c r="V3" s="41">
        <f t="shared" ref="V3:V12" si="6">(D74+D58)/(D3+D106)</f>
        <v>0.20138881498430267</v>
      </c>
      <c r="W3" s="41">
        <f t="shared" ref="W3:W12" si="7">(E74+E58)/(E3+E106)</f>
        <v>0.21383707941752747</v>
      </c>
      <c r="X3" s="122">
        <f>AVERAGE(T3:W3)</f>
        <v>0.21552321121380036</v>
      </c>
      <c r="Y3" s="123">
        <f>MAX(T3:W3)</f>
        <v>0.23655149111731547</v>
      </c>
      <c r="Z3" s="123">
        <f>MIN(T3:W3)</f>
        <v>0.20138881498430267</v>
      </c>
      <c r="AB3" s="119" t="s">
        <v>2</v>
      </c>
      <c r="AC3" s="90">
        <f>('BASTIA 2014'!S4+'BASTIA 2014'!S21)/2</f>
        <v>8.3521444695259603</v>
      </c>
      <c r="AD3" s="90">
        <f>('BASTIA 2015'!S4+'BASTIA 2015'!S21)/2</f>
        <v>7.336343115124154</v>
      </c>
      <c r="AE3" s="90">
        <f>('BASTIA 2016'!S4+'BASTIA 2016'!S21)/2</f>
        <v>7.7878103837471784</v>
      </c>
      <c r="AF3" s="90">
        <f>('BASTIA 2017'!S4+'BASTIA 2017'!S21)/2</f>
        <v>6.8848758465011297</v>
      </c>
      <c r="AG3" s="92">
        <f>AVERAGE(AC3:AF3)</f>
        <v>7.5902934537246054</v>
      </c>
      <c r="AH3" s="135">
        <f>MAX(AC3:AF3)</f>
        <v>8.3521444695259603</v>
      </c>
      <c r="AI3" s="135">
        <f>MIN(AC3:AF3)</f>
        <v>6.8848758465011297</v>
      </c>
    </row>
    <row r="4" spans="1:35" x14ac:dyDescent="0.25">
      <c r="A4" s="119" t="s">
        <v>3</v>
      </c>
      <c r="B4" s="132">
        <f>'BASTIA 2014'!AK5+'BASTIA 2014'!AK22</f>
        <v>117271</v>
      </c>
      <c r="C4" s="132">
        <f>'BASTIA 2015'!AK5+'BASTIA 2015'!AK22</f>
        <v>111454</v>
      </c>
      <c r="D4" s="132">
        <f>'BASTIA 2016'!AK5+'BASTIA 2016'!AK22</f>
        <v>124004</v>
      </c>
      <c r="E4" s="42">
        <f>'BASTIA 2017'!AK5+'BASTIA 2017'!AK22</f>
        <v>113855</v>
      </c>
      <c r="F4" s="127">
        <f t="shared" si="0"/>
        <v>116646</v>
      </c>
      <c r="G4" s="127">
        <f t="shared" si="1"/>
        <v>5455.1912279344833</v>
      </c>
      <c r="H4" s="127">
        <f t="shared" si="2"/>
        <v>5455.1912279344833</v>
      </c>
      <c r="J4" s="119" t="s">
        <v>3</v>
      </c>
      <c r="K4" s="41">
        <f t="shared" si="3"/>
        <v>0.15789922487230432</v>
      </c>
      <c r="L4" s="41">
        <f t="shared" si="3"/>
        <v>0.1783246900066395</v>
      </c>
      <c r="M4" s="41">
        <f t="shared" si="3"/>
        <v>0.17584110189993871</v>
      </c>
      <c r="N4" s="41">
        <f t="shared" si="3"/>
        <v>0.16132800491853674</v>
      </c>
      <c r="O4" s="122">
        <f t="shared" ref="O4:O14" si="8">AVERAGE(K4:N4)</f>
        <v>0.1683482554243548</v>
      </c>
      <c r="P4" s="123">
        <f t="shared" ref="P4:P14" si="9">MAX(K4:N4)</f>
        <v>0.1783246900066395</v>
      </c>
      <c r="Q4" s="123">
        <f t="shared" ref="Q4:Q14" si="10">MIN(K4:N4)</f>
        <v>0.15789922487230432</v>
      </c>
      <c r="S4" s="119" t="s">
        <v>3</v>
      </c>
      <c r="T4" s="41">
        <f t="shared" si="4"/>
        <v>0.22241658483928234</v>
      </c>
      <c r="U4" s="41">
        <f t="shared" si="5"/>
        <v>0.2373562982146038</v>
      </c>
      <c r="V4" s="41">
        <f t="shared" si="6"/>
        <v>0.24340598086417484</v>
      </c>
      <c r="W4" s="41">
        <f t="shared" si="7"/>
        <v>0.23661723077876462</v>
      </c>
      <c r="X4" s="122">
        <f t="shared" ref="X4:X14" si="11">AVERAGE(T4:W4)</f>
        <v>0.23494902367420639</v>
      </c>
      <c r="Y4" s="123">
        <f t="shared" ref="Y4:Y14" si="12">MAX(T4:W4)</f>
        <v>0.24340598086417484</v>
      </c>
      <c r="Z4" s="123">
        <f t="shared" ref="Z4:Z14" si="13">MIN(T4:W4)</f>
        <v>0.22241658483928234</v>
      </c>
      <c r="AB4" s="119" t="s">
        <v>3</v>
      </c>
      <c r="AC4" s="90">
        <f>('BASTIA 2014'!S5+'BASTIA 2014'!S22)/2</f>
        <v>7.625</v>
      </c>
      <c r="AD4" s="90">
        <f>('BASTIA 2015'!S5+'BASTIA 2015'!S22)/2</f>
        <v>7.25</v>
      </c>
      <c r="AE4" s="90">
        <f>('BASTIA 2016'!S5+'BASTIA 2016'!S22)/2</f>
        <v>8</v>
      </c>
      <c r="AF4" s="90">
        <f>('BASTIA 2017'!S5+'BASTIA 2017'!S22)/2</f>
        <v>7.25</v>
      </c>
      <c r="AG4" s="92">
        <f t="shared" ref="AG4:AG14" si="14">AVERAGE(AC4:AF4)</f>
        <v>7.53125</v>
      </c>
      <c r="AH4" s="135">
        <f t="shared" ref="AH4:AH14" si="15">MAX(AC4:AF4)</f>
        <v>8</v>
      </c>
      <c r="AI4" s="135">
        <f t="shared" ref="AI4:AI14" si="16">MIN(AC4:AF4)</f>
        <v>7.25</v>
      </c>
    </row>
    <row r="5" spans="1:35" x14ac:dyDescent="0.25">
      <c r="A5" s="119" t="s">
        <v>4</v>
      </c>
      <c r="B5" s="132">
        <f>'BASTIA 2014'!AK6+'BASTIA 2014'!AK23</f>
        <v>128865</v>
      </c>
      <c r="C5" s="132">
        <f>'BASTIA 2015'!AK6+'BASTIA 2015'!AK23</f>
        <v>123041</v>
      </c>
      <c r="D5" s="132">
        <f>'BASTIA 2016'!AK6+'BASTIA 2016'!AK23</f>
        <v>123565</v>
      </c>
      <c r="E5" s="42">
        <f>'BASTIA 2017'!AK6+'BASTIA 2017'!AK23</f>
        <v>124775</v>
      </c>
      <c r="F5" s="127">
        <f t="shared" si="0"/>
        <v>125061.5</v>
      </c>
      <c r="G5" s="127">
        <f t="shared" si="1"/>
        <v>2637.5889874403606</v>
      </c>
      <c r="H5" s="127">
        <f t="shared" si="2"/>
        <v>2637.5889874403606</v>
      </c>
      <c r="J5" s="119" t="s">
        <v>4</v>
      </c>
      <c r="K5" s="41">
        <f t="shared" si="3"/>
        <v>0.18714158227602529</v>
      </c>
      <c r="L5" s="41">
        <f t="shared" si="3"/>
        <v>0.18367048382246567</v>
      </c>
      <c r="M5" s="41">
        <f t="shared" si="3"/>
        <v>0.18954396471492738</v>
      </c>
      <c r="N5" s="41">
        <f t="shared" si="3"/>
        <v>0.15196954518132638</v>
      </c>
      <c r="O5" s="122">
        <f t="shared" si="8"/>
        <v>0.17808139399868617</v>
      </c>
      <c r="P5" s="123">
        <f t="shared" si="9"/>
        <v>0.18954396471492738</v>
      </c>
      <c r="Q5" s="123">
        <f t="shared" si="10"/>
        <v>0.15196954518132638</v>
      </c>
      <c r="S5" s="119" t="s">
        <v>4</v>
      </c>
      <c r="T5" s="41">
        <f t="shared" si="4"/>
        <v>0.2610586179319333</v>
      </c>
      <c r="U5" s="41">
        <f t="shared" si="5"/>
        <v>0.24962592742060657</v>
      </c>
      <c r="V5" s="41">
        <f t="shared" si="6"/>
        <v>0.24926549106756327</v>
      </c>
      <c r="W5" s="41">
        <f t="shared" si="7"/>
        <v>0.2331777460361098</v>
      </c>
      <c r="X5" s="122">
        <f t="shared" si="11"/>
        <v>0.24828194561405326</v>
      </c>
      <c r="Y5" s="123">
        <f t="shared" si="12"/>
        <v>0.2610586179319333</v>
      </c>
      <c r="Z5" s="123">
        <f t="shared" si="13"/>
        <v>0.2331777460361098</v>
      </c>
      <c r="AB5" s="119" t="s">
        <v>4</v>
      </c>
      <c r="AC5" s="90">
        <f>('BASTIA 2014'!S6+'BASTIA 2014'!S23)/2</f>
        <v>7.5620767494356667</v>
      </c>
      <c r="AD5" s="90">
        <f>('BASTIA 2015'!S6+'BASTIA 2015'!S23)/2</f>
        <v>7.2234762979683982</v>
      </c>
      <c r="AE5" s="90">
        <f>('BASTIA 2016'!S6+'BASTIA 2016'!S23)/2</f>
        <v>7.2234762979683982</v>
      </c>
      <c r="AF5" s="90">
        <f>('BASTIA 2017'!S6+'BASTIA 2017'!S23)/2</f>
        <v>7.2234762979683982</v>
      </c>
      <c r="AG5" s="92">
        <f t="shared" si="14"/>
        <v>7.3081264108352144</v>
      </c>
      <c r="AH5" s="135">
        <f t="shared" si="15"/>
        <v>7.5620767494356667</v>
      </c>
      <c r="AI5" s="135">
        <f t="shared" si="16"/>
        <v>7.2234762979683982</v>
      </c>
    </row>
    <row r="6" spans="1:35" x14ac:dyDescent="0.25">
      <c r="A6" s="119" t="s">
        <v>5</v>
      </c>
      <c r="B6" s="132">
        <f>'BASTIA 2014'!AK7+'BASTIA 2014'!AK24</f>
        <v>113568</v>
      </c>
      <c r="C6" s="132">
        <f>'BASTIA 2015'!AK7+'BASTIA 2015'!AK24</f>
        <v>119987</v>
      </c>
      <c r="D6" s="132">
        <f>'BASTIA 2016'!AK7+'BASTIA 2016'!AK24</f>
        <v>122745</v>
      </c>
      <c r="E6" s="42">
        <f>'BASTIA 2017'!AK7+'BASTIA 2017'!AK24</f>
        <v>133456</v>
      </c>
      <c r="F6" s="127">
        <f t="shared" si="0"/>
        <v>122439</v>
      </c>
      <c r="G6" s="127">
        <f t="shared" si="1"/>
        <v>8290.0516685161056</v>
      </c>
      <c r="H6" s="127">
        <f t="shared" si="2"/>
        <v>8290.0516685161056</v>
      </c>
      <c r="J6" s="119" t="s">
        <v>5</v>
      </c>
      <c r="K6" s="41">
        <f t="shared" si="3"/>
        <v>0.33696111580726967</v>
      </c>
      <c r="L6" s="41">
        <f t="shared" si="3"/>
        <v>0.32678540175185644</v>
      </c>
      <c r="M6" s="41">
        <f t="shared" si="3"/>
        <v>0.33796896003910548</v>
      </c>
      <c r="N6" s="41">
        <f t="shared" si="3"/>
        <v>0.37679834552211966</v>
      </c>
      <c r="O6" s="122">
        <f t="shared" si="8"/>
        <v>0.34462845578008783</v>
      </c>
      <c r="P6" s="123">
        <f t="shared" si="9"/>
        <v>0.37679834552211966</v>
      </c>
      <c r="Q6" s="123">
        <f t="shared" si="10"/>
        <v>0.32678540175185644</v>
      </c>
      <c r="S6" s="119" t="s">
        <v>5</v>
      </c>
      <c r="T6" s="41">
        <f t="shared" si="4"/>
        <v>0.40939127066409942</v>
      </c>
      <c r="U6" s="41">
        <f t="shared" si="5"/>
        <v>0.39047662620224077</v>
      </c>
      <c r="V6" s="41">
        <f t="shared" si="6"/>
        <v>0.37087055798177748</v>
      </c>
      <c r="W6" s="41">
        <f t="shared" si="7"/>
        <v>0.415080817916261</v>
      </c>
      <c r="X6" s="122">
        <f t="shared" si="11"/>
        <v>0.39645481819109468</v>
      </c>
      <c r="Y6" s="123">
        <f t="shared" si="12"/>
        <v>0.415080817916261</v>
      </c>
      <c r="Z6" s="123">
        <f t="shared" si="13"/>
        <v>0.37087055798177748</v>
      </c>
      <c r="AB6" s="119" t="s">
        <v>5</v>
      </c>
      <c r="AC6" s="90">
        <f>('BASTIA 2014'!S7+'BASTIA 2014'!S24)/2</f>
        <v>6.8925233644859816</v>
      </c>
      <c r="AD6" s="90">
        <f>('BASTIA 2015'!S7+'BASTIA 2015'!S24)/2</f>
        <v>7.2429906542056068</v>
      </c>
      <c r="AE6" s="90">
        <f>('BASTIA 2016'!S7+'BASTIA 2016'!S24)/2</f>
        <v>7.3598130841121492</v>
      </c>
      <c r="AF6" s="90">
        <f>('BASTIA 2017'!S7+'BASTIA 2017'!S24)/2</f>
        <v>7.9439252336448591</v>
      </c>
      <c r="AG6" s="92">
        <f t="shared" si="14"/>
        <v>7.3598130841121483</v>
      </c>
      <c r="AH6" s="135">
        <f t="shared" si="15"/>
        <v>7.9439252336448591</v>
      </c>
      <c r="AI6" s="135">
        <f t="shared" si="16"/>
        <v>6.8925233644859816</v>
      </c>
    </row>
    <row r="7" spans="1:35" x14ac:dyDescent="0.25">
      <c r="A7" s="119" t="s">
        <v>6</v>
      </c>
      <c r="B7" s="132">
        <f>'BASTIA 2014'!AK8+'BASTIA 2014'!AK25</f>
        <v>125168</v>
      </c>
      <c r="C7" s="132">
        <f>'BASTIA 2015'!AK8+'BASTIA 2015'!AK25</f>
        <v>138229</v>
      </c>
      <c r="D7" s="132">
        <f>'BASTIA 2016'!AK8+'BASTIA 2016'!AK25</f>
        <v>137077</v>
      </c>
      <c r="E7" s="42">
        <f>'BASTIA 2017'!AK8+'BASTIA 2017'!AK25</f>
        <v>133411</v>
      </c>
      <c r="F7" s="127">
        <f t="shared" si="0"/>
        <v>133471.25</v>
      </c>
      <c r="G7" s="127">
        <f t="shared" si="1"/>
        <v>5904.3828000901158</v>
      </c>
      <c r="H7" s="127">
        <f t="shared" si="2"/>
        <v>5904.3828000901158</v>
      </c>
      <c r="J7" s="119" t="s">
        <v>6</v>
      </c>
      <c r="K7" s="41">
        <f t="shared" si="3"/>
        <v>0.45889524479100091</v>
      </c>
      <c r="L7" s="41">
        <f t="shared" si="3"/>
        <v>0.41839266724059349</v>
      </c>
      <c r="M7" s="41">
        <f t="shared" si="3"/>
        <v>0.36650933416984616</v>
      </c>
      <c r="N7" s="41">
        <f t="shared" si="3"/>
        <v>0.34819467660087999</v>
      </c>
      <c r="O7" s="122">
        <f t="shared" si="8"/>
        <v>0.39799798070058012</v>
      </c>
      <c r="P7" s="123">
        <f t="shared" si="9"/>
        <v>0.45889524479100091</v>
      </c>
      <c r="Q7" s="123">
        <f t="shared" si="10"/>
        <v>0.34819467660087999</v>
      </c>
      <c r="S7" s="119" t="s">
        <v>6</v>
      </c>
      <c r="T7" s="41">
        <f t="shared" si="4"/>
        <v>0.49925301204819278</v>
      </c>
      <c r="U7" s="41">
        <f t="shared" si="5"/>
        <v>0.47380617190127949</v>
      </c>
      <c r="V7" s="41">
        <f t="shared" si="6"/>
        <v>0.4252049133903934</v>
      </c>
      <c r="W7" s="41">
        <f t="shared" si="7"/>
        <v>0.40172078897905539</v>
      </c>
      <c r="X7" s="122">
        <f t="shared" si="11"/>
        <v>0.44999622157973029</v>
      </c>
      <c r="Y7" s="123">
        <f t="shared" si="12"/>
        <v>0.49925301204819278</v>
      </c>
      <c r="Z7" s="123">
        <f t="shared" si="13"/>
        <v>0.40172078897905539</v>
      </c>
      <c r="AB7" s="119" t="s">
        <v>6</v>
      </c>
      <c r="AC7" s="90">
        <f>('BASTIA 2014'!S8+'BASTIA 2014'!S25)/2</f>
        <v>7.336343115124154</v>
      </c>
      <c r="AD7" s="90">
        <f>('BASTIA 2015'!S8+'BASTIA 2015'!S25)/2</f>
        <v>8.0135440180586919</v>
      </c>
      <c r="AE7" s="90">
        <f>('BASTIA 2016'!S8+'BASTIA 2016'!S25)/2</f>
        <v>7.9006772009029351</v>
      </c>
      <c r="AF7" s="90">
        <f>('BASTIA 2017'!S8+'BASTIA 2017'!S25)/2</f>
        <v>7.6749435665914225</v>
      </c>
      <c r="AG7" s="92">
        <f t="shared" si="14"/>
        <v>7.7313769751693009</v>
      </c>
      <c r="AH7" s="135">
        <f t="shared" si="15"/>
        <v>8.0135440180586919</v>
      </c>
      <c r="AI7" s="135">
        <f t="shared" si="16"/>
        <v>7.336343115124154</v>
      </c>
    </row>
    <row r="8" spans="1:35" x14ac:dyDescent="0.25">
      <c r="A8" s="119" t="s">
        <v>7</v>
      </c>
      <c r="B8" s="132">
        <f>'BASTIA 2014'!AK9+'BASTIA 2014'!AK26</f>
        <v>114144</v>
      </c>
      <c r="C8" s="132">
        <f>'BASTIA 2015'!AK9+'BASTIA 2015'!AK26</f>
        <v>115623</v>
      </c>
      <c r="D8" s="132">
        <f>'BASTIA 2016'!AK9+'BASTIA 2016'!AK26</f>
        <v>141185</v>
      </c>
      <c r="E8" s="42">
        <f>'BASTIA 2017'!AK9+'BASTIA 2017'!AK26</f>
        <v>138387</v>
      </c>
      <c r="F8" s="127">
        <f t="shared" si="0"/>
        <v>127334.75</v>
      </c>
      <c r="G8" s="127">
        <f t="shared" si="1"/>
        <v>14435.403570735389</v>
      </c>
      <c r="H8" s="127">
        <f t="shared" si="2"/>
        <v>14435.403570735389</v>
      </c>
      <c r="J8" s="119" t="s">
        <v>7</v>
      </c>
      <c r="K8" s="41">
        <f t="shared" si="3"/>
        <v>0.47285884496776004</v>
      </c>
      <c r="L8" s="41">
        <f t="shared" si="3"/>
        <v>0.42275325843474049</v>
      </c>
      <c r="M8" s="41">
        <f t="shared" si="3"/>
        <v>0.33934199808761556</v>
      </c>
      <c r="N8" s="41">
        <f t="shared" si="3"/>
        <v>0.37942870356319597</v>
      </c>
      <c r="O8" s="122">
        <f t="shared" si="8"/>
        <v>0.403595701263328</v>
      </c>
      <c r="P8" s="123">
        <f t="shared" si="9"/>
        <v>0.47285884496776004</v>
      </c>
      <c r="Q8" s="123">
        <f t="shared" si="10"/>
        <v>0.33934199808761556</v>
      </c>
      <c r="S8" s="119" t="s">
        <v>7</v>
      </c>
      <c r="T8" s="41">
        <f t="shared" si="4"/>
        <v>0.50455641738489942</v>
      </c>
      <c r="U8" s="41">
        <f t="shared" si="5"/>
        <v>0.43777250307223542</v>
      </c>
      <c r="V8" s="41">
        <f t="shared" si="6"/>
        <v>0.34217927287234218</v>
      </c>
      <c r="W8" s="41">
        <f t="shared" si="7"/>
        <v>0.42967180298522983</v>
      </c>
      <c r="X8" s="122">
        <f t="shared" si="11"/>
        <v>0.42854499907867671</v>
      </c>
      <c r="Y8" s="123">
        <f t="shared" si="12"/>
        <v>0.50455641738489942</v>
      </c>
      <c r="Z8" s="123">
        <f t="shared" si="13"/>
        <v>0.34217927287234218</v>
      </c>
      <c r="AB8" s="119" t="s">
        <v>7</v>
      </c>
      <c r="AC8" s="90">
        <f>('BASTIA 2014'!S9+'BASTIA 2014'!S26)/2</f>
        <v>6.8925233644859816</v>
      </c>
      <c r="AD8" s="90">
        <f>('BASTIA 2015'!S9+'BASTIA 2015'!S26)/2</f>
        <v>7.009345794392523</v>
      </c>
      <c r="AE8" s="90">
        <f>('BASTIA 2016'!S9+'BASTIA 2016'!S26)/2</f>
        <v>8.4112149532710276</v>
      </c>
      <c r="AF8" s="90">
        <f>('BASTIA 2017'!S9+'BASTIA 2017'!S26)/2</f>
        <v>8.2943925233644862</v>
      </c>
      <c r="AG8" s="92">
        <f t="shared" si="14"/>
        <v>7.6518691588785046</v>
      </c>
      <c r="AH8" s="135">
        <f t="shared" si="15"/>
        <v>8.4112149532710276</v>
      </c>
      <c r="AI8" s="135">
        <f t="shared" si="16"/>
        <v>6.8925233644859816</v>
      </c>
    </row>
    <row r="9" spans="1:35" x14ac:dyDescent="0.25">
      <c r="A9" s="119" t="s">
        <v>8</v>
      </c>
      <c r="B9" s="132">
        <f>'BASTIA 2014'!AK10+'BASTIA 2014'!AK27</f>
        <v>120502</v>
      </c>
      <c r="C9" s="132">
        <f>'BASTIA 2015'!AK10+'BASTIA 2015'!AK27</f>
        <v>118608</v>
      </c>
      <c r="D9" s="132">
        <f>'BASTIA 2016'!AK10+'BASTIA 2016'!AK27</f>
        <v>136843</v>
      </c>
      <c r="E9" s="42">
        <f>'BASTIA 2017'!AK10+'BASTIA 2017'!AK27</f>
        <v>153966</v>
      </c>
      <c r="F9" s="127">
        <f t="shared" si="0"/>
        <v>132479.75</v>
      </c>
      <c r="G9" s="127">
        <f t="shared" si="1"/>
        <v>16498.37196766194</v>
      </c>
      <c r="H9" s="127">
        <f t="shared" si="2"/>
        <v>16498.37196766194</v>
      </c>
      <c r="I9" s="45"/>
      <c r="J9" s="119" t="s">
        <v>8</v>
      </c>
      <c r="K9" s="41">
        <f t="shared" si="3"/>
        <v>0.64271132429337274</v>
      </c>
      <c r="L9" s="41">
        <f t="shared" si="3"/>
        <v>0.58384763253743421</v>
      </c>
      <c r="M9" s="41">
        <f t="shared" si="3"/>
        <v>0.56381400583150032</v>
      </c>
      <c r="N9" s="41">
        <f t="shared" si="3"/>
        <v>0.54482158398607483</v>
      </c>
      <c r="O9" s="122">
        <f t="shared" si="8"/>
        <v>0.58379863666209553</v>
      </c>
      <c r="P9" s="123">
        <f t="shared" si="9"/>
        <v>0.64271132429337274</v>
      </c>
      <c r="Q9" s="123">
        <f t="shared" si="10"/>
        <v>0.54482158398607483</v>
      </c>
      <c r="S9" s="119" t="s">
        <v>8</v>
      </c>
      <c r="T9" s="41">
        <f t="shared" si="4"/>
        <v>0.693794990559358</v>
      </c>
      <c r="U9" s="41">
        <f t="shared" si="5"/>
        <v>0.7010843772308698</v>
      </c>
      <c r="V9" s="41">
        <f t="shared" si="6"/>
        <v>0.54841887198651418</v>
      </c>
      <c r="W9" s="41">
        <f t="shared" si="7"/>
        <v>0.60346972104872254</v>
      </c>
      <c r="X9" s="146">
        <f t="shared" si="11"/>
        <v>0.63669199020636613</v>
      </c>
      <c r="Y9" s="123">
        <f t="shared" si="12"/>
        <v>0.7010843772308698</v>
      </c>
      <c r="Z9" s="123">
        <f t="shared" si="13"/>
        <v>0.54841887198651418</v>
      </c>
      <c r="AB9" s="119" t="s">
        <v>8</v>
      </c>
      <c r="AC9" s="90">
        <f>('BASTIA 2014'!S10+'BASTIA 2014'!S27)/2</f>
        <v>7.1106094808126414</v>
      </c>
      <c r="AD9" s="90">
        <f>('BASTIA 2015'!S10+'BASTIA 2015'!S27)/2</f>
        <v>6.9977426636568856</v>
      </c>
      <c r="AE9" s="90">
        <f>('BASTIA 2016'!S10+'BASTIA 2016'!S27)/2</f>
        <v>8.0135440180586919</v>
      </c>
      <c r="AF9" s="90">
        <f>('BASTIA 2017'!S10+'BASTIA 2017'!S27)/2</f>
        <v>8.9164785553047423</v>
      </c>
      <c r="AG9" s="92">
        <f t="shared" si="14"/>
        <v>7.7595936794582405</v>
      </c>
      <c r="AH9" s="135">
        <f t="shared" si="15"/>
        <v>8.9164785553047423</v>
      </c>
      <c r="AI9" s="135">
        <f t="shared" si="16"/>
        <v>6.9977426636568856</v>
      </c>
    </row>
    <row r="10" spans="1:35" x14ac:dyDescent="0.25">
      <c r="A10" s="119" t="s">
        <v>9</v>
      </c>
      <c r="B10" s="132">
        <f>'BASTIA 2014'!AK11+'BASTIA 2014'!AK28</f>
        <v>116669</v>
      </c>
      <c r="C10" s="132">
        <f>'BASTIA 2015'!AK11+'BASTIA 2015'!AK28</f>
        <v>124608</v>
      </c>
      <c r="D10" s="132">
        <f>'BASTIA 2016'!AK11+'BASTIA 2016'!AK28</f>
        <v>127365</v>
      </c>
      <c r="E10" s="42">
        <f>'BASTIA 2017'!AK11+'BASTIA 2017'!AK28</f>
        <v>161523</v>
      </c>
      <c r="F10" s="127">
        <f t="shared" si="0"/>
        <v>132541.25</v>
      </c>
      <c r="G10" s="127">
        <f t="shared" si="1"/>
        <v>19846.075789686987</v>
      </c>
      <c r="H10" s="127">
        <f t="shared" si="2"/>
        <v>19846.075789686987</v>
      </c>
      <c r="J10" s="119" t="s">
        <v>9</v>
      </c>
      <c r="K10" s="41">
        <f t="shared" si="3"/>
        <v>0.86026279474410516</v>
      </c>
      <c r="L10" s="41">
        <f t="shared" si="3"/>
        <v>0.68944209039548021</v>
      </c>
      <c r="M10" s="41">
        <f t="shared" si="3"/>
        <v>0.65916067993561811</v>
      </c>
      <c r="N10" s="41">
        <f t="shared" si="3"/>
        <v>0.59514124923385525</v>
      </c>
      <c r="O10" s="122">
        <f t="shared" si="8"/>
        <v>0.70100170357726466</v>
      </c>
      <c r="P10" s="123">
        <f t="shared" si="9"/>
        <v>0.86026279474410516</v>
      </c>
      <c r="Q10" s="123">
        <f t="shared" si="10"/>
        <v>0.59514124923385525</v>
      </c>
      <c r="S10" s="119" t="s">
        <v>9</v>
      </c>
      <c r="T10" s="41">
        <f t="shared" si="4"/>
        <v>0.9450075129309099</v>
      </c>
      <c r="U10" s="41">
        <f t="shared" si="5"/>
        <v>0.88115781799536941</v>
      </c>
      <c r="V10" s="41">
        <f t="shared" si="6"/>
        <v>0.7091376555204747</v>
      </c>
      <c r="W10" s="41">
        <f t="shared" si="7"/>
        <v>0.77360359089766306</v>
      </c>
      <c r="X10" s="146">
        <f t="shared" si="11"/>
        <v>0.82722664433610427</v>
      </c>
      <c r="Y10" s="123">
        <f t="shared" si="12"/>
        <v>0.9450075129309099</v>
      </c>
      <c r="Z10" s="123">
        <f t="shared" si="13"/>
        <v>0.7091376555204747</v>
      </c>
      <c r="AB10" s="119" t="s">
        <v>9</v>
      </c>
      <c r="AC10" s="90">
        <f>('BASTIA 2014'!S11+'BASTIA 2014'!S28)/2</f>
        <v>6.8848758465011297</v>
      </c>
      <c r="AD10" s="90">
        <f>('BASTIA 2015'!S11+'BASTIA 2015'!S28)/2</f>
        <v>7.4492099322799099</v>
      </c>
      <c r="AE10" s="90">
        <f>('BASTIA 2016'!S11+'BASTIA 2016'!S28)/2</f>
        <v>7.4492099322799099</v>
      </c>
      <c r="AF10" s="90">
        <f>('BASTIA 2017'!S11+'BASTIA 2017'!S28)/2</f>
        <v>9.3679458239277658</v>
      </c>
      <c r="AG10" s="92">
        <f t="shared" si="14"/>
        <v>7.7878103837471793</v>
      </c>
      <c r="AH10" s="135">
        <f t="shared" si="15"/>
        <v>9.3679458239277658</v>
      </c>
      <c r="AI10" s="135">
        <f t="shared" si="16"/>
        <v>6.8848758465011297</v>
      </c>
    </row>
    <row r="11" spans="1:35" x14ac:dyDescent="0.25">
      <c r="A11" s="119" t="s">
        <v>10</v>
      </c>
      <c r="B11" s="132">
        <f>'BASTIA 2014'!AK12+'BASTIA 2014'!AK29</f>
        <v>114999</v>
      </c>
      <c r="C11" s="132">
        <f>'BASTIA 2015'!AK12+'BASTIA 2015'!AK29</f>
        <v>119284</v>
      </c>
      <c r="D11" s="132">
        <f>'BASTIA 2016'!AK12+'BASTIA 2016'!AK29</f>
        <v>136992</v>
      </c>
      <c r="E11" s="42">
        <f>'BASTIA 2017'!AK12+'BASTIA 2017'!AK29</f>
        <v>158615</v>
      </c>
      <c r="F11" s="127">
        <f t="shared" si="0"/>
        <v>132472.5</v>
      </c>
      <c r="G11" s="127">
        <f t="shared" si="1"/>
        <v>19858.800912106115</v>
      </c>
      <c r="H11" s="127">
        <f t="shared" si="2"/>
        <v>19858.800912106115</v>
      </c>
      <c r="J11" s="119" t="s">
        <v>10</v>
      </c>
      <c r="K11" s="41">
        <f t="shared" si="3"/>
        <v>0.51590883398986076</v>
      </c>
      <c r="L11" s="41">
        <f t="shared" si="3"/>
        <v>0.4513346299587539</v>
      </c>
      <c r="M11" s="41">
        <f t="shared" si="3"/>
        <v>0.39284045783695398</v>
      </c>
      <c r="N11" s="41">
        <f t="shared" si="3"/>
        <v>0.39476089903224787</v>
      </c>
      <c r="O11" s="122">
        <f t="shared" si="8"/>
        <v>0.43871120520445417</v>
      </c>
      <c r="P11" s="123">
        <f t="shared" si="9"/>
        <v>0.51590883398986076</v>
      </c>
      <c r="Q11" s="123">
        <f t="shared" si="10"/>
        <v>0.39284045783695398</v>
      </c>
      <c r="S11" s="119" t="s">
        <v>10</v>
      </c>
      <c r="T11" s="41">
        <f t="shared" si="4"/>
        <v>0.52339039465311554</v>
      </c>
      <c r="U11" s="41">
        <f t="shared" si="5"/>
        <v>0.49957884451781909</v>
      </c>
      <c r="V11" s="41">
        <f t="shared" si="6"/>
        <v>0.46730562059493475</v>
      </c>
      <c r="W11" s="41">
        <f t="shared" si="7"/>
        <v>0.47432597904430907</v>
      </c>
      <c r="X11" s="122">
        <f t="shared" si="11"/>
        <v>0.49115020970254464</v>
      </c>
      <c r="Y11" s="123">
        <f t="shared" si="12"/>
        <v>0.52339039465311554</v>
      </c>
      <c r="Z11" s="123">
        <f t="shared" si="13"/>
        <v>0.46730562059493475</v>
      </c>
      <c r="AB11" s="119" t="s">
        <v>10</v>
      </c>
      <c r="AC11" s="90">
        <f>('BASTIA 2014'!S12+'BASTIA 2014'!S29)/2</f>
        <v>7.009345794392523</v>
      </c>
      <c r="AD11" s="90">
        <f>('BASTIA 2015'!S12+'BASTIA 2015'!S29)/2</f>
        <v>7.2429906542056068</v>
      </c>
      <c r="AE11" s="90">
        <f>('BASTIA 2016'!S12+'BASTIA 2016'!S29)/2</f>
        <v>8.1775700934579429</v>
      </c>
      <c r="AF11" s="90">
        <f>('BASTIA 2017'!S12+'BASTIA 2017'!S29)/2</f>
        <v>9.3457943925233629</v>
      </c>
      <c r="AG11" s="92">
        <f t="shared" si="14"/>
        <v>7.9439252336448591</v>
      </c>
      <c r="AH11" s="135">
        <f t="shared" si="15"/>
        <v>9.3457943925233629</v>
      </c>
      <c r="AI11" s="135">
        <f t="shared" si="16"/>
        <v>7.009345794392523</v>
      </c>
    </row>
    <row r="12" spans="1:35" x14ac:dyDescent="0.25">
      <c r="A12" s="119" t="s">
        <v>11</v>
      </c>
      <c r="B12" s="132">
        <f>'BASTIA 2014'!AK13+'BASTIA 2014'!AK30</f>
        <v>121506</v>
      </c>
      <c r="C12" s="132">
        <f>'BASTIA 2015'!AK13+'BASTIA 2015'!AK30</f>
        <v>143354</v>
      </c>
      <c r="D12" s="132">
        <f>'BASTIA 2016'!AK13+'BASTIA 2016'!AK30</f>
        <v>128002</v>
      </c>
      <c r="E12" s="42">
        <f>'BASTIA 2017'!AK13+'BASTIA 2017'!AK30</f>
        <v>147763</v>
      </c>
      <c r="F12" s="127">
        <f t="shared" si="0"/>
        <v>135156.25</v>
      </c>
      <c r="G12" s="127">
        <f t="shared" si="1"/>
        <v>12431.758641345425</v>
      </c>
      <c r="H12" s="127">
        <f t="shared" si="2"/>
        <v>12431.758641345425</v>
      </c>
      <c r="J12" s="119" t="s">
        <v>11</v>
      </c>
      <c r="K12" s="41">
        <f t="shared" si="3"/>
        <v>0.34395009299952267</v>
      </c>
      <c r="L12" s="41">
        <f t="shared" si="3"/>
        <v>0.37017453297431535</v>
      </c>
      <c r="M12" s="41">
        <f t="shared" si="3"/>
        <v>0.33284636177559723</v>
      </c>
      <c r="N12" s="41">
        <f t="shared" si="3"/>
        <v>0.27956931031449012</v>
      </c>
      <c r="O12" s="122">
        <f t="shared" si="8"/>
        <v>0.33163507451598134</v>
      </c>
      <c r="P12" s="123">
        <f t="shared" si="9"/>
        <v>0.37017453297431535</v>
      </c>
      <c r="Q12" s="123">
        <f t="shared" si="10"/>
        <v>0.27956931031449012</v>
      </c>
      <c r="S12" s="119" t="s">
        <v>11</v>
      </c>
      <c r="T12" s="41">
        <f t="shared" si="4"/>
        <v>0.45034950198758317</v>
      </c>
      <c r="U12" s="41">
        <f t="shared" si="5"/>
        <v>0.43456178442644117</v>
      </c>
      <c r="V12" s="41">
        <f t="shared" si="6"/>
        <v>0.44701493354953931</v>
      </c>
      <c r="W12" s="41">
        <f t="shared" si="7"/>
        <v>0.37915158110625119</v>
      </c>
      <c r="X12" s="122">
        <f t="shared" si="11"/>
        <v>0.42776945026745367</v>
      </c>
      <c r="Y12" s="123">
        <f t="shared" si="12"/>
        <v>0.45034950198758317</v>
      </c>
      <c r="Z12" s="123">
        <f t="shared" si="13"/>
        <v>0.37915158110625119</v>
      </c>
      <c r="AB12" s="119" t="s">
        <v>11</v>
      </c>
      <c r="AC12" s="90">
        <f>('BASTIA 2014'!S13+'BASTIA 2014'!S30)/2</f>
        <v>7.1106094808126414</v>
      </c>
      <c r="AD12" s="90">
        <f>('BASTIA 2015'!S13+'BASTIA 2015'!S30)/2</f>
        <v>8.3521444695259603</v>
      </c>
      <c r="AE12" s="90">
        <f>('BASTIA 2016'!S13+'BASTIA 2016'!S30)/2</f>
        <v>7.336343115124154</v>
      </c>
      <c r="AF12" s="90">
        <f>('BASTIA 2017'!S13+'BASTIA 2017'!S30)/2</f>
        <v>8.3521444695259603</v>
      </c>
      <c r="AG12" s="92">
        <f t="shared" si="14"/>
        <v>7.7878103837471793</v>
      </c>
      <c r="AH12" s="135">
        <f t="shared" si="15"/>
        <v>8.3521444695259603</v>
      </c>
      <c r="AI12" s="135">
        <f t="shared" si="16"/>
        <v>7.1106094808126414</v>
      </c>
    </row>
    <row r="13" spans="1:35" x14ac:dyDescent="0.25">
      <c r="A13" s="119" t="s">
        <v>12</v>
      </c>
      <c r="B13" s="132">
        <f>'BASTIA 2014'!AK14+'BASTIA 2014'!AK31</f>
        <v>117860</v>
      </c>
      <c r="C13" s="132">
        <f>'BASTIA 2015'!AK14+'BASTIA 2015'!AK31</f>
        <v>118995</v>
      </c>
      <c r="D13" s="132">
        <f>'BASTIA 2016'!AK14+'BASTIA 2016'!AK31</f>
        <v>114710</v>
      </c>
      <c r="E13" s="42"/>
      <c r="F13" s="127">
        <f t="shared" si="0"/>
        <v>117188.33333333333</v>
      </c>
      <c r="G13" s="127">
        <f t="shared" si="1"/>
        <v>2220.058182420752</v>
      </c>
      <c r="H13" s="127">
        <f t="shared" si="2"/>
        <v>2220.058182420752</v>
      </c>
      <c r="J13" s="119" t="s">
        <v>12</v>
      </c>
      <c r="K13" s="41">
        <f t="shared" si="3"/>
        <v>0.15698286102155098</v>
      </c>
      <c r="L13" s="41">
        <f t="shared" si="3"/>
        <v>0.14453548468423044</v>
      </c>
      <c r="M13" s="41">
        <f t="shared" si="3"/>
        <v>0.15091099293871502</v>
      </c>
      <c r="N13" s="41"/>
      <c r="O13" s="122">
        <f t="shared" si="8"/>
        <v>0.15080977954816546</v>
      </c>
      <c r="P13" s="123">
        <f t="shared" si="9"/>
        <v>0.15698286102155098</v>
      </c>
      <c r="Q13" s="123">
        <f t="shared" si="10"/>
        <v>0.14453548468423044</v>
      </c>
      <c r="S13" s="119" t="s">
        <v>12</v>
      </c>
      <c r="T13" s="41">
        <f t="shared" ref="T13:V14" si="17">(B84+B68)/(B13+B116)</f>
        <v>0.24394665965972542</v>
      </c>
      <c r="U13" s="41">
        <f t="shared" si="17"/>
        <v>0.20932018554357509</v>
      </c>
      <c r="V13" s="41">
        <f t="shared" si="17"/>
        <v>0.206357067284965</v>
      </c>
      <c r="W13" s="41"/>
      <c r="X13" s="122">
        <f t="shared" si="11"/>
        <v>0.21987463749608849</v>
      </c>
      <c r="Y13" s="123">
        <f t="shared" si="12"/>
        <v>0.24394665965972542</v>
      </c>
      <c r="Z13" s="123">
        <f t="shared" si="13"/>
        <v>0.206357067284965</v>
      </c>
      <c r="AB13" s="119" t="s">
        <v>12</v>
      </c>
      <c r="AC13" s="90">
        <f>('BASTIA 2014'!S14+'BASTIA 2014'!S31)/2</f>
        <v>7.2429906542056068</v>
      </c>
      <c r="AD13" s="90">
        <f>('BASTIA 2015'!S14+'BASTIA 2015'!S31)/2</f>
        <v>7.3598130841121492</v>
      </c>
      <c r="AE13" s="90">
        <f>('BASTIA 2016'!S14+'BASTIA 2016'!S31)/2</f>
        <v>7.009345794392523</v>
      </c>
      <c r="AF13" s="90"/>
      <c r="AG13" s="92">
        <f t="shared" si="14"/>
        <v>7.20404984423676</v>
      </c>
      <c r="AH13" s="135">
        <f t="shared" si="15"/>
        <v>7.3598130841121492</v>
      </c>
      <c r="AI13" s="135">
        <f t="shared" si="16"/>
        <v>7.009345794392523</v>
      </c>
    </row>
    <row r="14" spans="1:35" ht="15.75" thickBot="1" x14ac:dyDescent="0.3">
      <c r="A14" s="119" t="s">
        <v>13</v>
      </c>
      <c r="B14" s="132">
        <f>'BASTIA 2014'!AK15+'BASTIA 2014'!AK32</f>
        <v>127635</v>
      </c>
      <c r="C14" s="132">
        <f>'BASTIA 2015'!AK15+'BASTIA 2015'!AK32</f>
        <v>125798</v>
      </c>
      <c r="D14" s="132">
        <f>'BASTIA 2016'!AK15+'BASTIA 2016'!AK32</f>
        <v>121479</v>
      </c>
      <c r="E14" s="42"/>
      <c r="F14" s="127">
        <f t="shared" si="0"/>
        <v>124970.66666666667</v>
      </c>
      <c r="G14" s="127">
        <f t="shared" si="1"/>
        <v>3160.2918114207955</v>
      </c>
      <c r="H14" s="127">
        <f t="shared" si="2"/>
        <v>3160.2918114207955</v>
      </c>
      <c r="J14" s="139" t="s">
        <v>13</v>
      </c>
      <c r="K14" s="66">
        <f t="shared" si="3"/>
        <v>0.2507462686567164</v>
      </c>
      <c r="L14" s="66">
        <f t="shared" si="3"/>
        <v>0.22731680948822716</v>
      </c>
      <c r="M14" s="66">
        <f t="shared" si="3"/>
        <v>0.18928374451551297</v>
      </c>
      <c r="N14" s="66"/>
      <c r="O14" s="122">
        <f t="shared" si="8"/>
        <v>0.22244894088681885</v>
      </c>
      <c r="P14" s="123">
        <f t="shared" si="9"/>
        <v>0.2507462686567164</v>
      </c>
      <c r="Q14" s="123">
        <f t="shared" si="10"/>
        <v>0.18928374451551297</v>
      </c>
      <c r="S14" s="139" t="s">
        <v>13</v>
      </c>
      <c r="T14" s="66">
        <f t="shared" si="17"/>
        <v>0.33251259699839264</v>
      </c>
      <c r="U14" s="66">
        <f t="shared" si="17"/>
        <v>0.2953011914690119</v>
      </c>
      <c r="V14" s="66">
        <f t="shared" si="17"/>
        <v>0.2496273823743935</v>
      </c>
      <c r="W14" s="66"/>
      <c r="X14" s="122">
        <f t="shared" si="11"/>
        <v>0.29248039028059936</v>
      </c>
      <c r="Y14" s="123">
        <f t="shared" si="12"/>
        <v>0.33251259699839264</v>
      </c>
      <c r="Z14" s="123">
        <f t="shared" si="13"/>
        <v>0.2496273823743935</v>
      </c>
      <c r="AB14" s="139" t="s">
        <v>13</v>
      </c>
      <c r="AC14" s="93">
        <f>('BASTIA 2014'!S15+'BASTIA 2014'!S32)/2</f>
        <v>7.4492099322799099</v>
      </c>
      <c r="AD14" s="93">
        <f>('BASTIA 2015'!S15+'BASTIA 2015'!S32)/2</f>
        <v>7.336343115124154</v>
      </c>
      <c r="AE14" s="93">
        <f>('BASTIA 2016'!S15+'BASTIA 2016'!S32)/2</f>
        <v>6.9977426636568856</v>
      </c>
      <c r="AF14" s="93"/>
      <c r="AG14" s="92">
        <f t="shared" si="14"/>
        <v>7.2610985703536501</v>
      </c>
      <c r="AH14" s="135">
        <f t="shared" si="15"/>
        <v>7.4492099322799099</v>
      </c>
      <c r="AI14" s="135">
        <f t="shared" si="16"/>
        <v>6.9977426636568856</v>
      </c>
    </row>
    <row r="15" spans="1:35" ht="16.5" thickTop="1" thickBot="1" x14ac:dyDescent="0.3">
      <c r="A15" s="128" t="s">
        <v>0</v>
      </c>
      <c r="B15" s="129">
        <f t="shared" ref="B15:D15" si="18">SUM(B3:B14)</f>
        <v>1461466</v>
      </c>
      <c r="C15" s="129">
        <f t="shared" si="18"/>
        <v>1485208</v>
      </c>
      <c r="D15" s="129">
        <f t="shared" si="18"/>
        <v>1547984</v>
      </c>
      <c r="E15" s="129">
        <f t="shared" ref="E15" si="19">SUM(E3:E14)</f>
        <v>1385057</v>
      </c>
      <c r="J15" s="138" t="s">
        <v>1</v>
      </c>
      <c r="K15" s="61">
        <f>AVERAGE(K3:K14)</f>
        <v>0.38008519841158162</v>
      </c>
      <c r="L15" s="61">
        <f t="shared" ref="L15:M15" si="20">AVERAGE(L3:L14)</f>
        <v>0.34819611426028146</v>
      </c>
      <c r="M15" s="61">
        <f t="shared" si="20"/>
        <v>0.32136602177404355</v>
      </c>
      <c r="N15" s="61">
        <f>AVERAGE(N3:N14)</f>
        <v>0.33780737067154243</v>
      </c>
      <c r="S15" s="138" t="s">
        <v>1</v>
      </c>
      <c r="T15" s="61">
        <f>AVERAGE(T3:T14)</f>
        <v>0.44133275158279561</v>
      </c>
      <c r="U15" s="61">
        <f t="shared" ref="U15:W15" si="21">AVERAGE(U3:U14)</f>
        <v>0.42054943492594732</v>
      </c>
      <c r="V15" s="61">
        <f t="shared" si="21"/>
        <v>0.37168138020594799</v>
      </c>
      <c r="W15" s="61">
        <f t="shared" si="21"/>
        <v>0.41606563382098943</v>
      </c>
      <c r="AB15" s="138" t="s">
        <v>1</v>
      </c>
      <c r="AC15" s="91">
        <f>AVERAGE(AC3:AC14)</f>
        <v>7.2890210210051833</v>
      </c>
      <c r="AD15" s="91">
        <f t="shared" ref="AD15:AF15" si="22">AVERAGE(AD3:AD14)</f>
        <v>7.4011619832211695</v>
      </c>
      <c r="AE15" s="91">
        <f t="shared" si="22"/>
        <v>7.6388956280809834</v>
      </c>
      <c r="AF15" s="91">
        <f t="shared" si="22"/>
        <v>8.1253976709352109</v>
      </c>
      <c r="AG15" s="135"/>
      <c r="AH15" s="135"/>
      <c r="AI15" s="135"/>
    </row>
    <row r="16" spans="1:35" ht="15.75" thickTop="1" x14ac:dyDescent="0.25">
      <c r="A16" s="1" t="s">
        <v>72</v>
      </c>
      <c r="B16" s="1"/>
      <c r="F16" s="127"/>
    </row>
    <row r="17" spans="1:26" x14ac:dyDescent="0.25">
      <c r="A17" s="130" t="s">
        <v>15</v>
      </c>
      <c r="B17" s="127">
        <f t="shared" ref="B17:E17" si="23">AVERAGE(B3:B5,B12:B14)</f>
        <v>126069.33333333333</v>
      </c>
      <c r="C17" s="127">
        <f t="shared" si="23"/>
        <v>124811.5</v>
      </c>
      <c r="D17" s="127">
        <f t="shared" si="23"/>
        <v>124296.16666666667</v>
      </c>
      <c r="E17" s="127">
        <f t="shared" si="23"/>
        <v>126424.75</v>
      </c>
      <c r="F17" s="127">
        <f>AVERAGE(B17:D17)</f>
        <v>125059</v>
      </c>
      <c r="G17" s="122"/>
      <c r="H17" s="131"/>
      <c r="S17"/>
      <c r="T17"/>
      <c r="U17"/>
      <c r="V17"/>
      <c r="W17"/>
      <c r="X17"/>
      <c r="Y17"/>
      <c r="Z17"/>
    </row>
    <row r="18" spans="1:26" x14ac:dyDescent="0.25">
      <c r="A18" s="130" t="s">
        <v>16</v>
      </c>
      <c r="B18" s="127">
        <f t="shared" ref="B18:E18" si="24">AVERAGE(B6:B11)</f>
        <v>117508.33333333333</v>
      </c>
      <c r="C18" s="127">
        <f t="shared" si="24"/>
        <v>122723.16666666667</v>
      </c>
      <c r="D18" s="127">
        <f t="shared" si="24"/>
        <v>133701.16666666666</v>
      </c>
      <c r="E18" s="127">
        <f t="shared" si="24"/>
        <v>146559.66666666666</v>
      </c>
      <c r="F18" s="127">
        <f>AVERAGE(B18:D18)</f>
        <v>124644.2222222222</v>
      </c>
      <c r="G18" s="122"/>
      <c r="S18"/>
      <c r="T18"/>
      <c r="U18"/>
      <c r="V18"/>
      <c r="W18"/>
      <c r="X18"/>
      <c r="Y18"/>
      <c r="Z18"/>
    </row>
    <row r="19" spans="1:26" ht="15.75" thickBot="1" x14ac:dyDescent="0.3">
      <c r="S19"/>
      <c r="T19"/>
      <c r="U19"/>
      <c r="V19"/>
      <c r="W19"/>
      <c r="X19"/>
      <c r="Y19"/>
      <c r="Z19"/>
    </row>
    <row r="20" spans="1:26" ht="17.25" thickTop="1" thickBot="1" x14ac:dyDescent="0.3">
      <c r="A20" s="140" t="s">
        <v>86</v>
      </c>
      <c r="B20" s="141"/>
      <c r="C20" s="141"/>
      <c r="D20" s="141"/>
      <c r="E20" s="141"/>
      <c r="F20" s="142"/>
      <c r="J20" s="140" t="s">
        <v>126</v>
      </c>
      <c r="K20" s="141"/>
      <c r="L20" s="141"/>
      <c r="M20" s="141"/>
      <c r="N20" s="141"/>
      <c r="O20" s="142"/>
      <c r="S20"/>
      <c r="T20"/>
      <c r="U20"/>
      <c r="V20"/>
      <c r="W20"/>
      <c r="X20"/>
      <c r="Y20"/>
      <c r="Z20"/>
    </row>
    <row r="21" spans="1:26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86" t="s">
        <v>18</v>
      </c>
      <c r="Q21" s="86" t="s">
        <v>17</v>
      </c>
      <c r="S21"/>
      <c r="T21"/>
      <c r="U21"/>
      <c r="V21"/>
      <c r="W21"/>
      <c r="X21"/>
      <c r="Y21"/>
      <c r="Z21"/>
    </row>
    <row r="22" spans="1:26" x14ac:dyDescent="0.25">
      <c r="A22" s="119" t="s">
        <v>2</v>
      </c>
      <c r="B22" s="84">
        <v>25318</v>
      </c>
      <c r="C22" s="84">
        <v>22945</v>
      </c>
      <c r="D22" s="84">
        <v>21219</v>
      </c>
      <c r="E22" s="84">
        <v>17426</v>
      </c>
      <c r="F22" s="127">
        <f t="shared" ref="F22:F33" si="25">AVERAGE(B22:E22)</f>
        <v>21727</v>
      </c>
      <c r="G22" s="127">
        <f t="shared" ref="G22:G33" si="26">STDEVA(B22:E22)</f>
        <v>3323.425441719231</v>
      </c>
      <c r="H22" s="127">
        <f t="shared" ref="H22:H33" si="27">STDEVA(B22:E22)</f>
        <v>3323.425441719231</v>
      </c>
      <c r="J22" s="119" t="s">
        <v>2</v>
      </c>
      <c r="K22" s="77">
        <f>(B3+B106)-(B90)</f>
        <v>142512</v>
      </c>
      <c r="L22" s="77">
        <f t="shared" ref="L22:N33" si="28">(C3+C106)-(C90)</f>
        <v>128793</v>
      </c>
      <c r="M22" s="77">
        <f t="shared" si="28"/>
        <v>150083</v>
      </c>
      <c r="N22" s="77">
        <f t="shared" si="28"/>
        <v>128797.33333333334</v>
      </c>
      <c r="O22" s="92">
        <f>AVERAGE(K22:N22)</f>
        <v>137546.33333333334</v>
      </c>
      <c r="P22" s="135">
        <f>MAX(K22:N22)</f>
        <v>150083</v>
      </c>
      <c r="Q22" s="135">
        <f>MIN(K22:N22)</f>
        <v>128793</v>
      </c>
      <c r="S22"/>
      <c r="T22"/>
      <c r="U22"/>
      <c r="V22"/>
      <c r="W22"/>
      <c r="X22"/>
      <c r="Y22"/>
      <c r="Z22"/>
    </row>
    <row r="23" spans="1:26" x14ac:dyDescent="0.25">
      <c r="A23" s="119" t="s">
        <v>3</v>
      </c>
      <c r="B23" s="84">
        <v>18517</v>
      </c>
      <c r="C23" s="84">
        <v>19875</v>
      </c>
      <c r="D23" s="83">
        <v>21805</v>
      </c>
      <c r="E23" s="84">
        <v>18368</v>
      </c>
      <c r="F23" s="127">
        <f t="shared" si="25"/>
        <v>19641.25</v>
      </c>
      <c r="G23" s="127">
        <f t="shared" si="26"/>
        <v>1593.9005353743585</v>
      </c>
      <c r="H23" s="127">
        <f t="shared" si="27"/>
        <v>1593.9005353743585</v>
      </c>
      <c r="J23" s="119" t="s">
        <v>3</v>
      </c>
      <c r="K23" s="77">
        <f t="shared" ref="K23:K33" si="29">(B4+B107)-(B91)</f>
        <v>119576</v>
      </c>
      <c r="L23" s="77">
        <f t="shared" si="28"/>
        <v>111317</v>
      </c>
      <c r="M23" s="77">
        <f t="shared" si="28"/>
        <v>123517</v>
      </c>
      <c r="N23" s="77">
        <f t="shared" si="28"/>
        <v>114973.33333333334</v>
      </c>
      <c r="O23" s="92">
        <f t="shared" ref="O23:O33" si="30">AVERAGE(K23:N23)</f>
        <v>117345.83333333334</v>
      </c>
      <c r="P23" s="135">
        <f t="shared" ref="P23:P33" si="31">MAX(K23:N23)</f>
        <v>123517</v>
      </c>
      <c r="Q23" s="135">
        <f t="shared" ref="Q23:Q33" si="32">MIN(K23:N23)</f>
        <v>111317</v>
      </c>
      <c r="S23"/>
      <c r="T23"/>
      <c r="U23"/>
      <c r="V23"/>
      <c r="W23"/>
      <c r="X23"/>
      <c r="Y23"/>
      <c r="Z23"/>
    </row>
    <row r="24" spans="1:26" x14ac:dyDescent="0.25">
      <c r="A24" s="119" t="s">
        <v>4</v>
      </c>
      <c r="B24" s="84">
        <v>24116</v>
      </c>
      <c r="C24" s="84">
        <v>22599</v>
      </c>
      <c r="D24" s="83">
        <v>23421</v>
      </c>
      <c r="E24" s="84">
        <v>18962</v>
      </c>
      <c r="F24" s="127">
        <f t="shared" si="25"/>
        <v>22274.5</v>
      </c>
      <c r="G24" s="127">
        <f t="shared" si="26"/>
        <v>2293.7262986968026</v>
      </c>
      <c r="H24" s="127">
        <f t="shared" si="27"/>
        <v>2293.7262986968026</v>
      </c>
      <c r="J24" s="119" t="s">
        <v>4</v>
      </c>
      <c r="K24" s="77">
        <f t="shared" si="29"/>
        <v>124737</v>
      </c>
      <c r="L24" s="77">
        <f t="shared" si="28"/>
        <v>120859</v>
      </c>
      <c r="M24" s="77">
        <f t="shared" si="28"/>
        <v>130061</v>
      </c>
      <c r="N24" s="77">
        <f t="shared" si="28"/>
        <v>128307</v>
      </c>
      <c r="O24" s="92">
        <f t="shared" si="30"/>
        <v>125991</v>
      </c>
      <c r="P24" s="135">
        <f t="shared" si="31"/>
        <v>130061</v>
      </c>
      <c r="Q24" s="135">
        <f t="shared" si="32"/>
        <v>120859</v>
      </c>
      <c r="S24"/>
      <c r="T24"/>
      <c r="U24"/>
      <c r="V24"/>
      <c r="W24"/>
      <c r="X24"/>
      <c r="Y24"/>
      <c r="Z24"/>
    </row>
    <row r="25" spans="1:26" x14ac:dyDescent="0.25">
      <c r="A25" s="119" t="s">
        <v>5</v>
      </c>
      <c r="B25" s="84">
        <v>38268</v>
      </c>
      <c r="C25" s="84">
        <v>39210</v>
      </c>
      <c r="D25" s="84">
        <v>41484</v>
      </c>
      <c r="E25" s="84">
        <v>50286</v>
      </c>
      <c r="F25" s="127">
        <f t="shared" si="25"/>
        <v>42312</v>
      </c>
      <c r="G25" s="127">
        <f t="shared" si="26"/>
        <v>5484.7242410170447</v>
      </c>
      <c r="H25" s="127">
        <f t="shared" si="27"/>
        <v>5484.7242410170447</v>
      </c>
      <c r="J25" s="119" t="s">
        <v>5</v>
      </c>
      <c r="K25" s="77">
        <f t="shared" si="29"/>
        <v>103679</v>
      </c>
      <c r="L25" s="77">
        <f t="shared" si="28"/>
        <v>119903</v>
      </c>
      <c r="M25" s="77">
        <f t="shared" si="28"/>
        <v>141897</v>
      </c>
      <c r="N25" s="77">
        <f t="shared" si="28"/>
        <v>125148.33333333331</v>
      </c>
      <c r="O25" s="92">
        <f t="shared" si="30"/>
        <v>122656.83333333333</v>
      </c>
      <c r="P25" s="135">
        <f t="shared" si="31"/>
        <v>141897</v>
      </c>
      <c r="Q25" s="135">
        <f t="shared" si="32"/>
        <v>103679</v>
      </c>
      <c r="S25"/>
      <c r="T25"/>
      <c r="U25"/>
      <c r="V25"/>
      <c r="W25"/>
      <c r="X25"/>
      <c r="Y25"/>
      <c r="Z25"/>
    </row>
    <row r="26" spans="1:26" x14ac:dyDescent="0.25">
      <c r="A26" s="119" t="s">
        <v>6</v>
      </c>
      <c r="B26" s="84">
        <v>57439</v>
      </c>
      <c r="C26" s="84">
        <v>57834</v>
      </c>
      <c r="D26" s="84">
        <v>50240</v>
      </c>
      <c r="E26" s="84">
        <v>46453</v>
      </c>
      <c r="F26" s="127">
        <f t="shared" si="25"/>
        <v>52991.5</v>
      </c>
      <c r="G26" s="127">
        <f t="shared" si="26"/>
        <v>5584.2873911240158</v>
      </c>
      <c r="H26" s="127">
        <f t="shared" si="27"/>
        <v>5584.2873911240158</v>
      </c>
      <c r="J26" s="119" t="s">
        <v>6</v>
      </c>
      <c r="K26" s="77">
        <f t="shared" si="29"/>
        <v>103905</v>
      </c>
      <c r="L26" s="77">
        <f t="shared" si="28"/>
        <v>126708</v>
      </c>
      <c r="M26" s="77">
        <f t="shared" si="28"/>
        <v>126859</v>
      </c>
      <c r="N26" s="77">
        <f t="shared" si="28"/>
        <v>133369</v>
      </c>
      <c r="O26" s="92">
        <f t="shared" si="30"/>
        <v>122710.25</v>
      </c>
      <c r="P26" s="135">
        <f t="shared" si="31"/>
        <v>133369</v>
      </c>
      <c r="Q26" s="135">
        <f t="shared" si="32"/>
        <v>103905</v>
      </c>
      <c r="S26"/>
      <c r="T26"/>
      <c r="U26"/>
      <c r="V26"/>
      <c r="W26"/>
      <c r="X26"/>
      <c r="Y26"/>
      <c r="Z26"/>
    </row>
    <row r="27" spans="1:26" x14ac:dyDescent="0.25">
      <c r="A27" s="119" t="s">
        <v>7</v>
      </c>
      <c r="B27" s="84">
        <v>53974</v>
      </c>
      <c r="C27" s="84">
        <v>48880</v>
      </c>
      <c r="D27" s="84">
        <v>47910</v>
      </c>
      <c r="E27" s="84">
        <v>52508</v>
      </c>
      <c r="F27" s="127">
        <f t="shared" si="25"/>
        <v>50818</v>
      </c>
      <c r="G27" s="127">
        <f t="shared" si="26"/>
        <v>2888.4104048190011</v>
      </c>
      <c r="H27" s="127">
        <f t="shared" si="27"/>
        <v>2888.4104048190011</v>
      </c>
      <c r="J27" s="119" t="s">
        <v>7</v>
      </c>
      <c r="K27" s="77">
        <f t="shared" si="29"/>
        <v>110312</v>
      </c>
      <c r="L27" s="77">
        <f t="shared" si="28"/>
        <v>133592</v>
      </c>
      <c r="M27" s="77">
        <f t="shared" si="28"/>
        <v>199519</v>
      </c>
      <c r="N27" s="77">
        <f t="shared" si="28"/>
        <v>153566</v>
      </c>
      <c r="O27" s="92">
        <f t="shared" si="30"/>
        <v>149247.25</v>
      </c>
      <c r="P27" s="135">
        <f t="shared" si="31"/>
        <v>199519</v>
      </c>
      <c r="Q27" s="135">
        <f t="shared" si="32"/>
        <v>110312</v>
      </c>
      <c r="S27"/>
      <c r="T27"/>
      <c r="U27"/>
      <c r="V27"/>
      <c r="W27"/>
      <c r="X27"/>
      <c r="Y27"/>
      <c r="Z27"/>
    </row>
    <row r="28" spans="1:26" x14ac:dyDescent="0.25">
      <c r="A28" s="119" t="s">
        <v>8</v>
      </c>
      <c r="B28" s="84">
        <v>77448</v>
      </c>
      <c r="C28" s="84">
        <v>69249</v>
      </c>
      <c r="D28" s="84">
        <v>77154</v>
      </c>
      <c r="E28" s="84">
        <v>83884</v>
      </c>
      <c r="F28" s="127">
        <f t="shared" si="25"/>
        <v>76933.75</v>
      </c>
      <c r="G28" s="127">
        <f t="shared" si="26"/>
        <v>5990.9465237139284</v>
      </c>
      <c r="H28" s="127">
        <f t="shared" si="27"/>
        <v>5990.9465237139284</v>
      </c>
      <c r="J28" s="119" t="s">
        <v>8</v>
      </c>
      <c r="K28" s="77">
        <f t="shared" si="29"/>
        <v>83033</v>
      </c>
      <c r="L28" s="77">
        <f t="shared" si="28"/>
        <v>74951</v>
      </c>
      <c r="M28" s="77">
        <f t="shared" si="28"/>
        <v>177876</v>
      </c>
      <c r="N28" s="77">
        <f t="shared" si="28"/>
        <v>132408.33333333337</v>
      </c>
      <c r="O28" s="92">
        <f t="shared" si="30"/>
        <v>117067.08333333334</v>
      </c>
      <c r="P28" s="135">
        <f t="shared" si="31"/>
        <v>177876</v>
      </c>
      <c r="Q28" s="135">
        <f t="shared" si="32"/>
        <v>74951</v>
      </c>
      <c r="S28"/>
      <c r="T28"/>
      <c r="U28"/>
      <c r="V28"/>
      <c r="W28"/>
      <c r="X28"/>
      <c r="Y28"/>
      <c r="Z28"/>
    </row>
    <row r="29" spans="1:26" x14ac:dyDescent="0.25">
      <c r="A29" s="119" t="s">
        <v>9</v>
      </c>
      <c r="B29" s="84">
        <v>100366</v>
      </c>
      <c r="C29" s="84">
        <v>85910</v>
      </c>
      <c r="D29" s="84">
        <v>83954</v>
      </c>
      <c r="E29" s="84">
        <v>96129</v>
      </c>
      <c r="F29" s="127">
        <f t="shared" si="25"/>
        <v>91589.75</v>
      </c>
      <c r="G29" s="127">
        <f t="shared" si="26"/>
        <v>7920.2607859000873</v>
      </c>
      <c r="H29" s="127">
        <f t="shared" si="27"/>
        <v>7920.2607859000873</v>
      </c>
      <c r="J29" s="119" t="s">
        <v>9</v>
      </c>
      <c r="K29" s="77">
        <f t="shared" si="29"/>
        <v>15225</v>
      </c>
      <c r="L29" s="77">
        <f t="shared" si="28"/>
        <v>29668</v>
      </c>
      <c r="M29" s="77">
        <f t="shared" si="28"/>
        <v>97744</v>
      </c>
      <c r="N29" s="77">
        <f t="shared" si="28"/>
        <v>73841</v>
      </c>
      <c r="O29" s="92">
        <f t="shared" si="30"/>
        <v>54119.5</v>
      </c>
      <c r="P29" s="135">
        <f t="shared" si="31"/>
        <v>97744</v>
      </c>
      <c r="Q29" s="135">
        <f t="shared" si="32"/>
        <v>15225</v>
      </c>
      <c r="S29"/>
      <c r="T29"/>
      <c r="U29"/>
      <c r="V29"/>
      <c r="W29"/>
      <c r="X29"/>
      <c r="Y29"/>
      <c r="Z29"/>
    </row>
    <row r="30" spans="1:26" x14ac:dyDescent="0.25">
      <c r="A30" s="119" t="s">
        <v>10</v>
      </c>
      <c r="B30" s="84">
        <v>59329</v>
      </c>
      <c r="C30" s="84">
        <v>53837</v>
      </c>
      <c r="D30" s="84">
        <v>53816</v>
      </c>
      <c r="E30" s="84">
        <v>62615</v>
      </c>
      <c r="F30" s="127">
        <f t="shared" si="25"/>
        <v>57399.25</v>
      </c>
      <c r="G30" s="127">
        <f t="shared" si="26"/>
        <v>4338.0982296393431</v>
      </c>
      <c r="H30" s="127">
        <f t="shared" si="27"/>
        <v>4338.0982296393431</v>
      </c>
      <c r="J30" s="119" t="s">
        <v>10</v>
      </c>
      <c r="K30" s="77">
        <f t="shared" si="29"/>
        <v>107108</v>
      </c>
      <c r="L30" s="77">
        <f t="shared" si="28"/>
        <v>118821</v>
      </c>
      <c r="M30" s="77">
        <f t="shared" si="28"/>
        <v>134003</v>
      </c>
      <c r="N30" s="77">
        <f t="shared" si="28"/>
        <v>143386</v>
      </c>
      <c r="O30" s="92">
        <f t="shared" si="30"/>
        <v>125829.5</v>
      </c>
      <c r="P30" s="135">
        <f t="shared" si="31"/>
        <v>143386</v>
      </c>
      <c r="Q30" s="135">
        <f t="shared" si="32"/>
        <v>107108</v>
      </c>
      <c r="S30"/>
      <c r="T30"/>
      <c r="U30"/>
      <c r="V30"/>
      <c r="W30"/>
      <c r="X30"/>
      <c r="Y30"/>
      <c r="Z30"/>
    </row>
    <row r="31" spans="1:26" x14ac:dyDescent="0.25">
      <c r="A31" s="119" t="s">
        <v>11</v>
      </c>
      <c r="B31" s="84">
        <v>41792</v>
      </c>
      <c r="C31" s="84">
        <v>53066</v>
      </c>
      <c r="D31" s="84">
        <v>42605</v>
      </c>
      <c r="E31" s="84">
        <v>41310</v>
      </c>
      <c r="F31" s="127">
        <f t="shared" si="25"/>
        <v>44693.25</v>
      </c>
      <c r="G31" s="127">
        <f t="shared" si="26"/>
        <v>5607.3571537757425</v>
      </c>
      <c r="H31" s="127">
        <f t="shared" si="27"/>
        <v>5607.3571537757425</v>
      </c>
      <c r="J31" s="119" t="s">
        <v>11</v>
      </c>
      <c r="K31" s="77">
        <f t="shared" si="29"/>
        <v>98449</v>
      </c>
      <c r="L31" s="77">
        <f t="shared" si="28"/>
        <v>118232</v>
      </c>
      <c r="M31" s="77">
        <f t="shared" si="28"/>
        <v>100943</v>
      </c>
      <c r="N31" s="77">
        <f t="shared" si="28"/>
        <v>128552.66666666666</v>
      </c>
      <c r="O31" s="92">
        <f t="shared" si="30"/>
        <v>111544.16666666666</v>
      </c>
      <c r="P31" s="135">
        <f t="shared" si="31"/>
        <v>128552.66666666666</v>
      </c>
      <c r="Q31" s="135">
        <f t="shared" si="32"/>
        <v>98449</v>
      </c>
      <c r="S31"/>
      <c r="T31"/>
      <c r="U31"/>
      <c r="V31"/>
      <c r="W31"/>
      <c r="X31"/>
      <c r="Y31"/>
      <c r="Z31"/>
    </row>
    <row r="32" spans="1:26" x14ac:dyDescent="0.25">
      <c r="A32" s="119" t="s">
        <v>12</v>
      </c>
      <c r="B32" s="84">
        <v>18502</v>
      </c>
      <c r="C32" s="84">
        <v>17199</v>
      </c>
      <c r="D32" s="84">
        <v>17311</v>
      </c>
      <c r="E32" s="84"/>
      <c r="F32" s="127">
        <f t="shared" si="25"/>
        <v>17670.666666666668</v>
      </c>
      <c r="G32" s="127">
        <f t="shared" si="26"/>
        <v>722.1304129679994</v>
      </c>
      <c r="H32" s="127">
        <f t="shared" si="27"/>
        <v>722.1304129679994</v>
      </c>
      <c r="J32" s="119" t="s">
        <v>12</v>
      </c>
      <c r="K32" s="77">
        <f t="shared" si="29"/>
        <v>115094</v>
      </c>
      <c r="L32" s="77">
        <f t="shared" si="28"/>
        <v>128695</v>
      </c>
      <c r="M32" s="77">
        <f t="shared" si="28"/>
        <v>141024</v>
      </c>
      <c r="N32" s="77"/>
      <c r="O32" s="92">
        <f t="shared" si="30"/>
        <v>128271</v>
      </c>
      <c r="P32" s="135">
        <f t="shared" si="31"/>
        <v>141024</v>
      </c>
      <c r="Q32" s="135">
        <f t="shared" si="32"/>
        <v>115094</v>
      </c>
      <c r="S32"/>
      <c r="T32"/>
      <c r="U32"/>
      <c r="V32"/>
      <c r="W32"/>
      <c r="X32"/>
      <c r="Y32"/>
      <c r="Z32"/>
    </row>
    <row r="33" spans="1:17" ht="15.75" thickBot="1" x14ac:dyDescent="0.3">
      <c r="A33" s="119" t="s">
        <v>13</v>
      </c>
      <c r="B33" s="84">
        <v>32004</v>
      </c>
      <c r="C33" s="84">
        <v>28596</v>
      </c>
      <c r="D33" s="67">
        <v>22994</v>
      </c>
      <c r="E33" s="67"/>
      <c r="F33" s="127">
        <f t="shared" si="25"/>
        <v>27864.666666666668</v>
      </c>
      <c r="G33" s="127">
        <f t="shared" si="26"/>
        <v>4549.3033898975409</v>
      </c>
      <c r="H33" s="127">
        <f t="shared" si="27"/>
        <v>4549.3033898975409</v>
      </c>
      <c r="J33" s="139" t="s">
        <v>13</v>
      </c>
      <c r="K33" s="43">
        <f t="shared" si="29"/>
        <v>110877</v>
      </c>
      <c r="L33" s="43">
        <f t="shared" si="28"/>
        <v>120834</v>
      </c>
      <c r="M33" s="43">
        <f t="shared" si="28"/>
        <v>141972</v>
      </c>
      <c r="N33" s="43"/>
      <c r="O33" s="92">
        <f t="shared" si="30"/>
        <v>124561</v>
      </c>
      <c r="P33" s="135">
        <f t="shared" si="31"/>
        <v>141972</v>
      </c>
      <c r="Q33" s="135">
        <f t="shared" si="32"/>
        <v>110877</v>
      </c>
    </row>
    <row r="34" spans="1:17" ht="16.5" thickTop="1" thickBot="1" x14ac:dyDescent="0.3">
      <c r="A34" s="128" t="s">
        <v>0</v>
      </c>
      <c r="B34" s="137">
        <f t="shared" ref="B34:D34" si="33">SUM(B22:B33)</f>
        <v>547073</v>
      </c>
      <c r="C34" s="137">
        <f t="shared" si="33"/>
        <v>519200</v>
      </c>
      <c r="D34" s="137">
        <f t="shared" si="33"/>
        <v>503913</v>
      </c>
      <c r="E34" s="137">
        <f>SUM(E22:E33)</f>
        <v>487941</v>
      </c>
      <c r="J34" s="138" t="s">
        <v>0</v>
      </c>
      <c r="K34" s="137">
        <f>SUM(K22:K33)</f>
        <v>1234507</v>
      </c>
      <c r="L34" s="137">
        <f>SUM(L22:L33)</f>
        <v>1332373</v>
      </c>
      <c r="M34" s="137">
        <f>SUM(M22:M33)</f>
        <v>1665498</v>
      </c>
      <c r="N34" s="137">
        <f>SUM(N22:N33)</f>
        <v>1262349.0000000002</v>
      </c>
    </row>
    <row r="35" spans="1:17" ht="15.75" thickTop="1" x14ac:dyDescent="0.25">
      <c r="A35" s="1" t="s">
        <v>14</v>
      </c>
      <c r="B35" s="1"/>
      <c r="C35" s="1"/>
      <c r="D35" s="1"/>
      <c r="E35" s="1"/>
      <c r="F35" s="1"/>
    </row>
    <row r="36" spans="1:17" x14ac:dyDescent="0.25">
      <c r="A36" s="130" t="s">
        <v>15</v>
      </c>
      <c r="B36" s="127">
        <f t="shared" ref="B36:H36" si="34">AVERAGE(B22:B24,B31:B33)</f>
        <v>26708.166666666668</v>
      </c>
      <c r="C36" s="127">
        <f t="shared" si="34"/>
        <v>27380</v>
      </c>
      <c r="D36" s="127">
        <f t="shared" si="34"/>
        <v>24892.5</v>
      </c>
      <c r="E36" s="127">
        <f t="shared" si="34"/>
        <v>24016.5</v>
      </c>
      <c r="F36" s="127">
        <f t="shared" si="34"/>
        <v>25645.222222222223</v>
      </c>
      <c r="G36" s="127">
        <f t="shared" si="34"/>
        <v>3014.9738720719456</v>
      </c>
      <c r="H36" s="127">
        <f t="shared" si="34"/>
        <v>3014.9738720719456</v>
      </c>
    </row>
    <row r="37" spans="1:17" x14ac:dyDescent="0.25">
      <c r="A37" s="130" t="s">
        <v>16</v>
      </c>
      <c r="B37" s="127">
        <f t="shared" ref="B37:H37" si="35">AVERAGE(B25:B30)</f>
        <v>64470.666666666664</v>
      </c>
      <c r="C37" s="127">
        <f t="shared" si="35"/>
        <v>59153.333333333336</v>
      </c>
      <c r="D37" s="127">
        <f t="shared" si="35"/>
        <v>59093</v>
      </c>
      <c r="E37" s="127">
        <f t="shared" si="35"/>
        <v>65312.5</v>
      </c>
      <c r="F37" s="127">
        <f t="shared" si="35"/>
        <v>62007.375</v>
      </c>
      <c r="G37" s="127">
        <f t="shared" si="35"/>
        <v>5367.787929368903</v>
      </c>
      <c r="H37" s="127">
        <f t="shared" si="35"/>
        <v>5367.787929368903</v>
      </c>
    </row>
    <row r="38" spans="1:17" ht="15.75" thickBot="1" x14ac:dyDescent="0.3"/>
    <row r="39" spans="1:17" ht="28.5" customHeight="1" thickTop="1" thickBot="1" x14ac:dyDescent="0.3">
      <c r="A39" s="140" t="s">
        <v>87</v>
      </c>
      <c r="B39" s="141"/>
      <c r="C39" s="141"/>
      <c r="D39" s="141"/>
      <c r="E39" s="141"/>
      <c r="F39" s="142"/>
      <c r="J39" s="149" t="s">
        <v>243</v>
      </c>
      <c r="K39" s="164"/>
      <c r="L39" s="164"/>
      <c r="M39" s="164"/>
      <c r="N39" s="164"/>
    </row>
    <row r="40" spans="1:17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J40" s="151"/>
      <c r="K40" s="147">
        <v>2014</v>
      </c>
      <c r="L40" s="147">
        <v>2015</v>
      </c>
      <c r="M40" s="147">
        <v>2016</v>
      </c>
      <c r="N40" s="147">
        <v>2017</v>
      </c>
    </row>
    <row r="41" spans="1:17" x14ac:dyDescent="0.25">
      <c r="A41" s="119" t="s">
        <v>2</v>
      </c>
      <c r="B41" s="84">
        <v>6860</v>
      </c>
      <c r="C41" s="84">
        <v>11815</v>
      </c>
      <c r="D41" s="84">
        <v>8798</v>
      </c>
      <c r="E41" s="84">
        <v>12216</v>
      </c>
      <c r="J41" s="153" t="s">
        <v>2</v>
      </c>
      <c r="K41" s="77">
        <f>-1*K22</f>
        <v>-142512</v>
      </c>
      <c r="L41" s="77">
        <f t="shared" ref="L41:N41" si="36">-1*L22</f>
        <v>-128793</v>
      </c>
      <c r="M41" s="77">
        <f t="shared" si="36"/>
        <v>-150083</v>
      </c>
      <c r="N41" s="77">
        <f t="shared" si="36"/>
        <v>-128797.33333333334</v>
      </c>
    </row>
    <row r="42" spans="1:17" x14ac:dyDescent="0.25">
      <c r="A42" s="119" t="s">
        <v>3</v>
      </c>
      <c r="B42" s="84">
        <v>12339</v>
      </c>
      <c r="C42" s="84">
        <v>9817</v>
      </c>
      <c r="D42" s="84">
        <v>11118</v>
      </c>
      <c r="E42" s="84">
        <v>11518</v>
      </c>
      <c r="J42" s="153" t="s">
        <v>3</v>
      </c>
      <c r="K42" s="77">
        <f t="shared" ref="K42:N52" si="37">-1*K23</f>
        <v>-119576</v>
      </c>
      <c r="L42" s="77">
        <f t="shared" si="37"/>
        <v>-111317</v>
      </c>
      <c r="M42" s="77">
        <f t="shared" si="37"/>
        <v>-123517</v>
      </c>
      <c r="N42" s="77">
        <f t="shared" si="37"/>
        <v>-114973.33333333334</v>
      </c>
    </row>
    <row r="43" spans="1:17" x14ac:dyDescent="0.25">
      <c r="A43" s="119" t="s">
        <v>4</v>
      </c>
      <c r="B43" s="84">
        <v>14685</v>
      </c>
      <c r="C43" s="84">
        <v>12663</v>
      </c>
      <c r="D43" s="84">
        <v>12160</v>
      </c>
      <c r="E43" s="84">
        <v>12023</v>
      </c>
      <c r="J43" s="153" t="s">
        <v>4</v>
      </c>
      <c r="K43" s="77">
        <f t="shared" si="37"/>
        <v>-124737</v>
      </c>
      <c r="L43" s="77">
        <f t="shared" si="37"/>
        <v>-120859</v>
      </c>
      <c r="M43" s="77">
        <f t="shared" si="37"/>
        <v>-130061</v>
      </c>
      <c r="N43" s="77">
        <f t="shared" si="37"/>
        <v>-128307</v>
      </c>
    </row>
    <row r="44" spans="1:17" x14ac:dyDescent="0.25">
      <c r="A44" s="119" t="s">
        <v>5</v>
      </c>
      <c r="B44" s="84">
        <v>18039</v>
      </c>
      <c r="C44" s="84">
        <v>17558</v>
      </c>
      <c r="D44" s="84">
        <v>17323</v>
      </c>
      <c r="E44" s="84">
        <v>19541</v>
      </c>
      <c r="J44" s="153" t="s">
        <v>5</v>
      </c>
      <c r="K44" s="77">
        <f t="shared" si="37"/>
        <v>-103679</v>
      </c>
      <c r="L44" s="77">
        <f t="shared" si="37"/>
        <v>-119903</v>
      </c>
      <c r="M44" s="77">
        <f t="shared" si="37"/>
        <v>-141897</v>
      </c>
      <c r="N44" s="77">
        <f t="shared" si="37"/>
        <v>-125148.33333333331</v>
      </c>
    </row>
    <row r="45" spans="1:17" x14ac:dyDescent="0.25">
      <c r="A45" s="119" t="s">
        <v>6</v>
      </c>
      <c r="B45" s="84">
        <v>23236</v>
      </c>
      <c r="C45" s="84">
        <v>21282</v>
      </c>
      <c r="D45" s="84">
        <v>18718</v>
      </c>
      <c r="E45" s="84">
        <v>18508</v>
      </c>
      <c r="J45" s="153" t="s">
        <v>6</v>
      </c>
      <c r="K45" s="77">
        <f t="shared" si="37"/>
        <v>-103905</v>
      </c>
      <c r="L45" s="77">
        <f t="shared" si="37"/>
        <v>-126708</v>
      </c>
      <c r="M45" s="77">
        <f t="shared" si="37"/>
        <v>-126859</v>
      </c>
      <c r="N45" s="77">
        <f t="shared" si="37"/>
        <v>-133369</v>
      </c>
    </row>
    <row r="46" spans="1:17" x14ac:dyDescent="0.25">
      <c r="A46" s="119" t="s">
        <v>7</v>
      </c>
      <c r="B46" s="84">
        <v>20481</v>
      </c>
      <c r="C46" s="84">
        <v>19632</v>
      </c>
      <c r="D46" s="84">
        <v>18803</v>
      </c>
      <c r="E46" s="84">
        <v>20650</v>
      </c>
      <c r="J46" s="153" t="s">
        <v>7</v>
      </c>
      <c r="K46" s="77">
        <f t="shared" si="37"/>
        <v>-110312</v>
      </c>
      <c r="L46" s="77">
        <f t="shared" si="37"/>
        <v>-133592</v>
      </c>
      <c r="M46" s="77">
        <f t="shared" si="37"/>
        <v>-199519</v>
      </c>
      <c r="N46" s="77">
        <f t="shared" si="37"/>
        <v>-153566</v>
      </c>
    </row>
    <row r="47" spans="1:17" x14ac:dyDescent="0.25">
      <c r="A47" s="119" t="s">
        <v>8</v>
      </c>
      <c r="B47" s="84">
        <v>29284</v>
      </c>
      <c r="C47" s="84">
        <v>31685</v>
      </c>
      <c r="D47" s="84">
        <v>29205</v>
      </c>
      <c r="E47" s="84">
        <v>29621</v>
      </c>
      <c r="J47" s="153" t="s">
        <v>8</v>
      </c>
      <c r="K47" s="77">
        <f t="shared" si="37"/>
        <v>-83033</v>
      </c>
      <c r="L47" s="77">
        <f t="shared" si="37"/>
        <v>-74951</v>
      </c>
      <c r="M47" s="77">
        <f t="shared" si="37"/>
        <v>-177876</v>
      </c>
      <c r="N47" s="77">
        <f t="shared" si="37"/>
        <v>-132408.33333333337</v>
      </c>
    </row>
    <row r="48" spans="1:17" x14ac:dyDescent="0.25">
      <c r="A48" s="119" t="s">
        <v>9</v>
      </c>
      <c r="B48" s="84">
        <v>60857</v>
      </c>
      <c r="C48" s="84">
        <v>44614</v>
      </c>
      <c r="D48" s="84">
        <v>33383</v>
      </c>
      <c r="E48" s="84">
        <v>33084</v>
      </c>
      <c r="J48" s="153" t="s">
        <v>9</v>
      </c>
      <c r="K48" s="77">
        <f t="shared" si="37"/>
        <v>-15225</v>
      </c>
      <c r="L48" s="77">
        <f t="shared" si="37"/>
        <v>-29668</v>
      </c>
      <c r="M48" s="77">
        <f t="shared" si="37"/>
        <v>-97744</v>
      </c>
      <c r="N48" s="77">
        <f t="shared" si="37"/>
        <v>-73841</v>
      </c>
    </row>
    <row r="49" spans="1:14" x14ac:dyDescent="0.25">
      <c r="A49" s="119" t="s">
        <v>10</v>
      </c>
      <c r="B49" s="84">
        <v>20798</v>
      </c>
      <c r="C49" s="84">
        <v>21523</v>
      </c>
      <c r="D49" s="84">
        <v>21361</v>
      </c>
      <c r="E49" s="84">
        <v>22061</v>
      </c>
      <c r="J49" s="153" t="s">
        <v>10</v>
      </c>
      <c r="K49" s="77">
        <f t="shared" si="37"/>
        <v>-107108</v>
      </c>
      <c r="L49" s="77">
        <f t="shared" si="37"/>
        <v>-118821</v>
      </c>
      <c r="M49" s="77">
        <f t="shared" si="37"/>
        <v>-134003</v>
      </c>
      <c r="N49" s="77">
        <f t="shared" si="37"/>
        <v>-143386</v>
      </c>
    </row>
    <row r="50" spans="1:14" x14ac:dyDescent="0.25">
      <c r="A50" s="119" t="s">
        <v>11</v>
      </c>
      <c r="B50" s="84">
        <v>20174</v>
      </c>
      <c r="C50" s="84">
        <v>19463</v>
      </c>
      <c r="D50" s="84">
        <v>20813</v>
      </c>
      <c r="E50" s="84">
        <v>20040</v>
      </c>
      <c r="J50" s="153" t="s">
        <v>11</v>
      </c>
      <c r="K50" s="77">
        <f t="shared" si="37"/>
        <v>-98449</v>
      </c>
      <c r="L50" s="77">
        <f t="shared" si="37"/>
        <v>-118232</v>
      </c>
      <c r="M50" s="77">
        <f t="shared" si="37"/>
        <v>-100943</v>
      </c>
      <c r="N50" s="77">
        <f t="shared" si="37"/>
        <v>-128552.66666666666</v>
      </c>
    </row>
    <row r="51" spans="1:14" x14ac:dyDescent="0.25">
      <c r="A51" s="119" t="s">
        <v>12</v>
      </c>
      <c r="B51" s="84">
        <v>12456</v>
      </c>
      <c r="C51" s="84">
        <v>10647</v>
      </c>
      <c r="D51" s="84">
        <v>12186</v>
      </c>
      <c r="E51" s="84"/>
      <c r="J51" s="153" t="s">
        <v>12</v>
      </c>
      <c r="K51" s="77">
        <f t="shared" si="37"/>
        <v>-115094</v>
      </c>
      <c r="L51" s="77">
        <f t="shared" si="37"/>
        <v>-128695</v>
      </c>
      <c r="M51" s="77">
        <f t="shared" si="37"/>
        <v>-141024</v>
      </c>
      <c r="N51" s="77"/>
    </row>
    <row r="52" spans="1:14" ht="15.75" thickBot="1" x14ac:dyDescent="0.3">
      <c r="A52" s="119" t="s">
        <v>13</v>
      </c>
      <c r="B52" s="84">
        <v>14017</v>
      </c>
      <c r="C52" s="84">
        <v>12826</v>
      </c>
      <c r="D52" s="84">
        <v>15078</v>
      </c>
      <c r="E52" s="84"/>
      <c r="J52" s="168" t="s">
        <v>13</v>
      </c>
      <c r="K52" s="43">
        <f t="shared" si="37"/>
        <v>-110877</v>
      </c>
      <c r="L52" s="43">
        <f t="shared" si="37"/>
        <v>-120834</v>
      </c>
      <c r="M52" s="43">
        <f t="shared" si="37"/>
        <v>-141972</v>
      </c>
      <c r="N52" s="43"/>
    </row>
    <row r="53" spans="1:14" ht="16.5" thickTop="1" thickBot="1" x14ac:dyDescent="0.3">
      <c r="A53" s="128" t="s">
        <v>0</v>
      </c>
      <c r="B53" s="137">
        <f t="shared" ref="B53:D53" si="38">SUM(B41:B52)</f>
        <v>253226</v>
      </c>
      <c r="C53" s="137">
        <f t="shared" si="38"/>
        <v>233525</v>
      </c>
      <c r="D53" s="137">
        <f t="shared" si="38"/>
        <v>218946</v>
      </c>
      <c r="E53" s="137">
        <f>SUM(E41:E52)</f>
        <v>199262</v>
      </c>
      <c r="J53" s="169" t="s">
        <v>0</v>
      </c>
      <c r="K53" s="170">
        <f>SUM(K41:K52)</f>
        <v>-1234507</v>
      </c>
      <c r="L53" s="170">
        <f>SUM(L41:L52)</f>
        <v>-1332373</v>
      </c>
      <c r="M53" s="170">
        <f>SUM(M41:M52)</f>
        <v>-1665498</v>
      </c>
      <c r="N53" s="170">
        <f>SUM(N41:N52)</f>
        <v>-1262349.0000000002</v>
      </c>
    </row>
    <row r="54" spans="1:14" ht="15.75" thickTop="1" x14ac:dyDescent="0.25">
      <c r="A54" s="1" t="s">
        <v>14</v>
      </c>
      <c r="B54" s="1"/>
      <c r="C54" s="1"/>
      <c r="D54" s="1"/>
      <c r="E54" s="1"/>
      <c r="F54" s="1"/>
      <c r="I54" s="45"/>
    </row>
    <row r="55" spans="1:14" ht="15.75" thickBot="1" x14ac:dyDescent="0.3"/>
    <row r="56" spans="1:14" ht="17.25" thickTop="1" thickBot="1" x14ac:dyDescent="0.3">
      <c r="A56" s="140" t="s">
        <v>88</v>
      </c>
      <c r="B56" s="141"/>
      <c r="C56" s="141"/>
      <c r="D56" s="141"/>
      <c r="E56" s="141"/>
    </row>
    <row r="57" spans="1:14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</row>
    <row r="58" spans="1:14" x14ac:dyDescent="0.25">
      <c r="A58" s="119" t="s">
        <v>2</v>
      </c>
      <c r="B58" s="132">
        <f t="shared" ref="B58:E69" si="39">B22+B41</f>
        <v>32178</v>
      </c>
      <c r="C58" s="132">
        <f t="shared" si="39"/>
        <v>34760</v>
      </c>
      <c r="D58" s="132">
        <f t="shared" si="39"/>
        <v>30017</v>
      </c>
      <c r="E58" s="132">
        <f t="shared" si="39"/>
        <v>29642</v>
      </c>
    </row>
    <row r="59" spans="1:14" x14ac:dyDescent="0.25">
      <c r="A59" s="119" t="s">
        <v>3</v>
      </c>
      <c r="B59" s="132">
        <f t="shared" si="39"/>
        <v>30856</v>
      </c>
      <c r="C59" s="132">
        <f t="shared" si="39"/>
        <v>29692</v>
      </c>
      <c r="D59" s="132">
        <f t="shared" si="39"/>
        <v>32923</v>
      </c>
      <c r="E59" s="132">
        <f t="shared" si="39"/>
        <v>29886</v>
      </c>
    </row>
    <row r="60" spans="1:14" x14ac:dyDescent="0.25">
      <c r="A60" s="119" t="s">
        <v>4</v>
      </c>
      <c r="B60" s="132">
        <f t="shared" si="39"/>
        <v>38801</v>
      </c>
      <c r="C60" s="132">
        <f t="shared" si="39"/>
        <v>35262</v>
      </c>
      <c r="D60" s="132">
        <f t="shared" si="39"/>
        <v>35581</v>
      </c>
      <c r="E60" s="132">
        <f t="shared" si="39"/>
        <v>30985</v>
      </c>
    </row>
    <row r="61" spans="1:14" x14ac:dyDescent="0.25">
      <c r="A61" s="119" t="s">
        <v>5</v>
      </c>
      <c r="B61" s="132">
        <f t="shared" si="39"/>
        <v>56307</v>
      </c>
      <c r="C61" s="132">
        <f t="shared" si="39"/>
        <v>56768</v>
      </c>
      <c r="D61" s="132">
        <f t="shared" si="39"/>
        <v>58807</v>
      </c>
      <c r="E61" s="132">
        <f t="shared" si="39"/>
        <v>69827</v>
      </c>
      <c r="J61" s="127"/>
    </row>
    <row r="62" spans="1:14" x14ac:dyDescent="0.25">
      <c r="A62" s="119" t="s">
        <v>6</v>
      </c>
      <c r="B62" s="132">
        <f t="shared" si="39"/>
        <v>80675</v>
      </c>
      <c r="C62" s="132">
        <f t="shared" si="39"/>
        <v>79116</v>
      </c>
      <c r="D62" s="132">
        <f t="shared" si="39"/>
        <v>68958</v>
      </c>
      <c r="E62" s="132">
        <f t="shared" si="39"/>
        <v>64961</v>
      </c>
      <c r="I62" s="127"/>
      <c r="J62" s="127"/>
      <c r="K62" s="122"/>
    </row>
    <row r="63" spans="1:14" x14ac:dyDescent="0.25">
      <c r="A63" s="119" t="s">
        <v>7</v>
      </c>
      <c r="B63" s="132">
        <f t="shared" si="39"/>
        <v>74455</v>
      </c>
      <c r="C63" s="132">
        <f t="shared" si="39"/>
        <v>68512</v>
      </c>
      <c r="D63" s="132">
        <f t="shared" si="39"/>
        <v>66713</v>
      </c>
      <c r="E63" s="132">
        <f t="shared" si="39"/>
        <v>73158</v>
      </c>
      <c r="I63" s="127"/>
      <c r="J63" s="127"/>
      <c r="K63" s="122"/>
    </row>
    <row r="64" spans="1:14" x14ac:dyDescent="0.25">
      <c r="A64" s="119" t="s">
        <v>8</v>
      </c>
      <c r="B64" s="132">
        <f t="shared" si="39"/>
        <v>106732</v>
      </c>
      <c r="C64" s="132">
        <f t="shared" si="39"/>
        <v>100934</v>
      </c>
      <c r="D64" s="132">
        <f t="shared" si="39"/>
        <v>106359</v>
      </c>
      <c r="E64" s="132">
        <f t="shared" si="39"/>
        <v>113505</v>
      </c>
    </row>
    <row r="65" spans="1:5" x14ac:dyDescent="0.25">
      <c r="A65" s="119" t="s">
        <v>9</v>
      </c>
      <c r="B65" s="132">
        <f t="shared" si="39"/>
        <v>161223</v>
      </c>
      <c r="C65" s="132">
        <f t="shared" si="39"/>
        <v>130524</v>
      </c>
      <c r="D65" s="132">
        <f t="shared" si="39"/>
        <v>117337</v>
      </c>
      <c r="E65" s="132">
        <f t="shared" si="39"/>
        <v>129213</v>
      </c>
    </row>
    <row r="66" spans="1:5" x14ac:dyDescent="0.25">
      <c r="A66" s="119" t="s">
        <v>10</v>
      </c>
      <c r="B66" s="132">
        <f t="shared" si="39"/>
        <v>80127</v>
      </c>
      <c r="C66" s="132">
        <f t="shared" si="39"/>
        <v>75360</v>
      </c>
      <c r="D66" s="132">
        <f t="shared" si="39"/>
        <v>75177</v>
      </c>
      <c r="E66" s="132">
        <f t="shared" si="39"/>
        <v>84676</v>
      </c>
    </row>
    <row r="67" spans="1:5" x14ac:dyDescent="0.25">
      <c r="A67" s="119" t="s">
        <v>11</v>
      </c>
      <c r="B67" s="132">
        <f t="shared" si="39"/>
        <v>61966</v>
      </c>
      <c r="C67" s="132">
        <f t="shared" si="39"/>
        <v>72529</v>
      </c>
      <c r="D67" s="132">
        <f t="shared" si="39"/>
        <v>63418</v>
      </c>
      <c r="E67" s="132">
        <f t="shared" si="39"/>
        <v>61350</v>
      </c>
    </row>
    <row r="68" spans="1:5" x14ac:dyDescent="0.25">
      <c r="A68" s="119" t="s">
        <v>12</v>
      </c>
      <c r="B68" s="132">
        <f t="shared" si="39"/>
        <v>30958</v>
      </c>
      <c r="C68" s="132">
        <f t="shared" si="39"/>
        <v>27846</v>
      </c>
      <c r="D68" s="132">
        <f t="shared" si="39"/>
        <v>29497</v>
      </c>
      <c r="E68" s="132"/>
    </row>
    <row r="69" spans="1:5" ht="15.75" thickBot="1" x14ac:dyDescent="0.3">
      <c r="A69" s="119" t="s">
        <v>13</v>
      </c>
      <c r="B69" s="132">
        <f t="shared" si="39"/>
        <v>46021</v>
      </c>
      <c r="C69" s="132">
        <f t="shared" si="39"/>
        <v>41422</v>
      </c>
      <c r="D69" s="132">
        <f t="shared" si="39"/>
        <v>38072</v>
      </c>
      <c r="E69" s="132"/>
    </row>
    <row r="70" spans="1:5" ht="16.5" thickTop="1" thickBot="1" x14ac:dyDescent="0.3">
      <c r="A70" s="128" t="s">
        <v>0</v>
      </c>
      <c r="B70" s="129">
        <f t="shared" ref="B70:D70" si="40">SUM(B58:B69)</f>
        <v>800299</v>
      </c>
      <c r="C70" s="129">
        <f t="shared" si="40"/>
        <v>752725</v>
      </c>
      <c r="D70" s="129">
        <f t="shared" si="40"/>
        <v>722859</v>
      </c>
      <c r="E70" s="129">
        <f>SUM(E58:E69)</f>
        <v>687203</v>
      </c>
    </row>
    <row r="71" spans="1:5" ht="16.5" thickTop="1" thickBot="1" x14ac:dyDescent="0.3"/>
    <row r="72" spans="1:5" ht="17.25" thickTop="1" thickBot="1" x14ac:dyDescent="0.3">
      <c r="A72" s="140" t="s">
        <v>120</v>
      </c>
      <c r="B72" s="141"/>
      <c r="C72" s="141"/>
      <c r="D72" s="141"/>
      <c r="E72" s="141"/>
    </row>
    <row r="73" spans="1:5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</row>
    <row r="74" spans="1:5" x14ac:dyDescent="0.25">
      <c r="A74" s="119" t="s">
        <v>2</v>
      </c>
      <c r="B74" s="84">
        <v>5777</v>
      </c>
      <c r="C74" s="84">
        <v>5146</v>
      </c>
      <c r="D74" s="84">
        <v>7830</v>
      </c>
      <c r="E74" s="84">
        <v>5391</v>
      </c>
    </row>
    <row r="75" spans="1:5" x14ac:dyDescent="0.25">
      <c r="A75" s="119" t="s">
        <v>3</v>
      </c>
      <c r="B75" s="84">
        <v>3347</v>
      </c>
      <c r="C75" s="84">
        <v>4953</v>
      </c>
      <c r="D75" s="84">
        <v>6814</v>
      </c>
      <c r="E75" s="84">
        <v>5751</v>
      </c>
    </row>
    <row r="76" spans="1:5" x14ac:dyDescent="0.25">
      <c r="A76" s="119" t="s">
        <v>4</v>
      </c>
      <c r="B76" s="84">
        <v>5267</v>
      </c>
      <c r="C76" s="84">
        <v>4944</v>
      </c>
      <c r="D76" s="84">
        <v>7603</v>
      </c>
      <c r="E76" s="84">
        <v>8031</v>
      </c>
    </row>
    <row r="77" spans="1:5" x14ac:dyDescent="0.25">
      <c r="A77" s="119" t="s">
        <v>5</v>
      </c>
      <c r="B77" s="84">
        <v>15560</v>
      </c>
      <c r="C77" s="84">
        <v>20045</v>
      </c>
      <c r="D77" s="84">
        <v>24841</v>
      </c>
      <c r="E77" s="84">
        <v>18983</v>
      </c>
    </row>
    <row r="78" spans="1:5" x14ac:dyDescent="0.25">
      <c r="A78" s="119" t="s">
        <v>6</v>
      </c>
      <c r="B78" s="84">
        <v>22920</v>
      </c>
      <c r="C78" s="84">
        <v>34977</v>
      </c>
      <c r="D78" s="84">
        <v>24886</v>
      </c>
      <c r="E78" s="84">
        <v>24591</v>
      </c>
    </row>
    <row r="79" spans="1:5" x14ac:dyDescent="0.25">
      <c r="A79" s="119" t="s">
        <v>7</v>
      </c>
      <c r="B79" s="84">
        <v>37886</v>
      </c>
      <c r="C79" s="84">
        <v>35508</v>
      </c>
      <c r="D79" s="84">
        <v>37071</v>
      </c>
      <c r="E79" s="84">
        <v>42535</v>
      </c>
    </row>
    <row r="80" spans="1:5" x14ac:dyDescent="0.25">
      <c r="A80" s="119" t="s">
        <v>8</v>
      </c>
      <c r="B80" s="84">
        <v>81403</v>
      </c>
      <c r="C80" s="84">
        <v>74858</v>
      </c>
      <c r="D80" s="84">
        <v>109661</v>
      </c>
      <c r="E80" s="84">
        <v>88004</v>
      </c>
    </row>
    <row r="81" spans="1:5" x14ac:dyDescent="0.25">
      <c r="A81" s="119" t="s">
        <v>9</v>
      </c>
      <c r="B81" s="84">
        <v>100408</v>
      </c>
      <c r="C81" s="84">
        <v>89450</v>
      </c>
      <c r="D81" s="84">
        <v>120968</v>
      </c>
      <c r="E81" s="84">
        <v>123104</v>
      </c>
    </row>
    <row r="82" spans="1:5" x14ac:dyDescent="0.25">
      <c r="A82" s="119" t="s">
        <v>10</v>
      </c>
      <c r="B82" s="84">
        <v>37494</v>
      </c>
      <c r="C82" s="84">
        <v>43261</v>
      </c>
      <c r="D82" s="84">
        <v>42377</v>
      </c>
      <c r="E82" s="84">
        <v>44704</v>
      </c>
    </row>
    <row r="83" spans="1:5" x14ac:dyDescent="0.25">
      <c r="A83" s="119" t="s">
        <v>11</v>
      </c>
      <c r="B83" s="84">
        <v>18697</v>
      </c>
      <c r="C83" s="84">
        <v>18337</v>
      </c>
      <c r="D83" s="84">
        <v>18181</v>
      </c>
      <c r="E83" s="84">
        <v>17157</v>
      </c>
    </row>
    <row r="84" spans="1:5" x14ac:dyDescent="0.25">
      <c r="A84" s="119" t="s">
        <v>12</v>
      </c>
      <c r="B84" s="84">
        <v>6178</v>
      </c>
      <c r="C84" s="84">
        <v>6224</v>
      </c>
      <c r="D84" s="84">
        <v>7171</v>
      </c>
      <c r="E84" s="84"/>
    </row>
    <row r="85" spans="1:5" ht="15.75" thickBot="1" x14ac:dyDescent="0.3">
      <c r="A85" s="119" t="s">
        <v>13</v>
      </c>
      <c r="B85" s="113">
        <v>9213</v>
      </c>
      <c r="C85" s="113">
        <v>9213</v>
      </c>
      <c r="D85" s="113">
        <v>9158</v>
      </c>
      <c r="E85" s="132"/>
    </row>
    <row r="86" spans="1:5" ht="16.5" thickTop="1" thickBot="1" x14ac:dyDescent="0.3">
      <c r="A86" s="128" t="s">
        <v>0</v>
      </c>
      <c r="B86" s="129">
        <f t="shared" ref="B86:D86" si="41">SUM(B74:B85)</f>
        <v>344150</v>
      </c>
      <c r="C86" s="129">
        <f t="shared" si="41"/>
        <v>346916</v>
      </c>
      <c r="D86" s="129">
        <f t="shared" si="41"/>
        <v>416561</v>
      </c>
      <c r="E86" s="129">
        <f>SUM(E74:E85)</f>
        <v>378251</v>
      </c>
    </row>
    <row r="87" spans="1:5" ht="16.5" thickTop="1" thickBot="1" x14ac:dyDescent="0.3"/>
    <row r="88" spans="1:5" ht="17.25" thickTop="1" thickBot="1" x14ac:dyDescent="0.3">
      <c r="A88" s="140" t="s">
        <v>123</v>
      </c>
      <c r="B88" s="141"/>
      <c r="C88" s="141"/>
      <c r="D88" s="141"/>
      <c r="E88" s="141"/>
    </row>
    <row r="89" spans="1:5" ht="16.5" thickTop="1" x14ac:dyDescent="0.25">
      <c r="A89" s="124"/>
      <c r="B89" s="125">
        <v>2014</v>
      </c>
      <c r="C89" s="125">
        <v>2015</v>
      </c>
      <c r="D89" s="125">
        <v>2016</v>
      </c>
      <c r="E89" s="125">
        <v>2017</v>
      </c>
    </row>
    <row r="90" spans="1:5" x14ac:dyDescent="0.25">
      <c r="A90" s="119" t="s">
        <v>2</v>
      </c>
      <c r="B90" s="77">
        <f>B58+B74</f>
        <v>37955</v>
      </c>
      <c r="C90" s="77">
        <f t="shared" ref="C90:E90" si="42">C58+C74</f>
        <v>39906</v>
      </c>
      <c r="D90" s="77">
        <f t="shared" si="42"/>
        <v>37847</v>
      </c>
      <c r="E90" s="77">
        <f t="shared" si="42"/>
        <v>35033</v>
      </c>
    </row>
    <row r="91" spans="1:5" x14ac:dyDescent="0.25">
      <c r="A91" s="119" t="s">
        <v>3</v>
      </c>
      <c r="B91" s="77">
        <f t="shared" ref="B91:E101" si="43">B59+B75</f>
        <v>34203</v>
      </c>
      <c r="C91" s="77">
        <f t="shared" si="43"/>
        <v>34645</v>
      </c>
      <c r="D91" s="77">
        <f t="shared" si="43"/>
        <v>39737</v>
      </c>
      <c r="E91" s="77">
        <f t="shared" si="43"/>
        <v>35637</v>
      </c>
    </row>
    <row r="92" spans="1:5" x14ac:dyDescent="0.25">
      <c r="A92" s="119" t="s">
        <v>4</v>
      </c>
      <c r="B92" s="77">
        <f t="shared" si="43"/>
        <v>44068</v>
      </c>
      <c r="C92" s="77">
        <f t="shared" si="43"/>
        <v>40206</v>
      </c>
      <c r="D92" s="77">
        <f t="shared" si="43"/>
        <v>43184</v>
      </c>
      <c r="E92" s="77">
        <f t="shared" si="43"/>
        <v>39016</v>
      </c>
    </row>
    <row r="93" spans="1:5" x14ac:dyDescent="0.25">
      <c r="A93" s="119" t="s">
        <v>5</v>
      </c>
      <c r="B93" s="77">
        <f t="shared" si="43"/>
        <v>71867</v>
      </c>
      <c r="C93" s="77">
        <f t="shared" si="43"/>
        <v>76813</v>
      </c>
      <c r="D93" s="77">
        <f t="shared" si="43"/>
        <v>83648</v>
      </c>
      <c r="E93" s="77">
        <f t="shared" si="43"/>
        <v>88810</v>
      </c>
    </row>
    <row r="94" spans="1:5" x14ac:dyDescent="0.25">
      <c r="A94" s="119" t="s">
        <v>6</v>
      </c>
      <c r="B94" s="77">
        <f t="shared" si="43"/>
        <v>103595</v>
      </c>
      <c r="C94" s="77">
        <f t="shared" si="43"/>
        <v>114093</v>
      </c>
      <c r="D94" s="77">
        <f t="shared" si="43"/>
        <v>93844</v>
      </c>
      <c r="E94" s="77">
        <f t="shared" si="43"/>
        <v>89552</v>
      </c>
    </row>
    <row r="95" spans="1:5" x14ac:dyDescent="0.25">
      <c r="A95" s="119" t="s">
        <v>7</v>
      </c>
      <c r="B95" s="77">
        <f t="shared" si="43"/>
        <v>112341</v>
      </c>
      <c r="C95" s="77">
        <f t="shared" si="43"/>
        <v>104020</v>
      </c>
      <c r="D95" s="77">
        <f t="shared" si="43"/>
        <v>103784</v>
      </c>
      <c r="E95" s="77">
        <f t="shared" si="43"/>
        <v>115693</v>
      </c>
    </row>
    <row r="96" spans="1:5" x14ac:dyDescent="0.25">
      <c r="A96" s="119" t="s">
        <v>8</v>
      </c>
      <c r="B96" s="77">
        <f t="shared" si="43"/>
        <v>188135</v>
      </c>
      <c r="C96" s="77">
        <f t="shared" si="43"/>
        <v>175792</v>
      </c>
      <c r="D96" s="77">
        <f t="shared" si="43"/>
        <v>216020</v>
      </c>
      <c r="E96" s="77">
        <f t="shared" si="43"/>
        <v>201509</v>
      </c>
    </row>
    <row r="97" spans="1:19" x14ac:dyDescent="0.25">
      <c r="A97" s="119" t="s">
        <v>9</v>
      </c>
      <c r="B97" s="77">
        <f t="shared" si="43"/>
        <v>261631</v>
      </c>
      <c r="C97" s="77">
        <f t="shared" si="43"/>
        <v>219974</v>
      </c>
      <c r="D97" s="77">
        <f t="shared" si="43"/>
        <v>238305</v>
      </c>
      <c r="E97" s="77">
        <f t="shared" si="43"/>
        <v>252317</v>
      </c>
    </row>
    <row r="98" spans="1:19" x14ac:dyDescent="0.25">
      <c r="A98" s="119" t="s">
        <v>10</v>
      </c>
      <c r="B98" s="77">
        <f t="shared" si="43"/>
        <v>117621</v>
      </c>
      <c r="C98" s="77">
        <f t="shared" si="43"/>
        <v>118621</v>
      </c>
      <c r="D98" s="77">
        <f t="shared" si="43"/>
        <v>117554</v>
      </c>
      <c r="E98" s="77">
        <f t="shared" si="43"/>
        <v>129380</v>
      </c>
    </row>
    <row r="99" spans="1:19" x14ac:dyDescent="0.25">
      <c r="A99" s="119" t="s">
        <v>11</v>
      </c>
      <c r="B99" s="77">
        <f t="shared" si="43"/>
        <v>80663</v>
      </c>
      <c r="C99" s="77">
        <f t="shared" si="43"/>
        <v>90866</v>
      </c>
      <c r="D99" s="77">
        <f t="shared" si="43"/>
        <v>81599</v>
      </c>
      <c r="E99" s="77">
        <f t="shared" si="43"/>
        <v>78507</v>
      </c>
    </row>
    <row r="100" spans="1:19" x14ac:dyDescent="0.25">
      <c r="A100" s="119" t="s">
        <v>12</v>
      </c>
      <c r="B100" s="77">
        <f t="shared" si="43"/>
        <v>37136</v>
      </c>
      <c r="C100" s="77">
        <f t="shared" si="43"/>
        <v>34070</v>
      </c>
      <c r="D100" s="77">
        <f t="shared" si="43"/>
        <v>36668</v>
      </c>
      <c r="E100" s="77">
        <f t="shared" si="43"/>
        <v>0</v>
      </c>
    </row>
    <row r="101" spans="1:19" ht="15.75" thickBot="1" x14ac:dyDescent="0.3">
      <c r="A101" s="139" t="s">
        <v>13</v>
      </c>
      <c r="B101" s="43">
        <f t="shared" si="43"/>
        <v>55234</v>
      </c>
      <c r="C101" s="43">
        <f t="shared" si="43"/>
        <v>50635</v>
      </c>
      <c r="D101" s="43">
        <f t="shared" si="43"/>
        <v>47230</v>
      </c>
      <c r="E101" s="43">
        <f t="shared" si="43"/>
        <v>0</v>
      </c>
    </row>
    <row r="102" spans="1:19" ht="16.5" thickTop="1" thickBot="1" x14ac:dyDescent="0.3">
      <c r="A102" s="138" t="s">
        <v>0</v>
      </c>
      <c r="B102" s="137">
        <f t="shared" ref="B102:C102" si="44">SUM(B90:B101)</f>
        <v>1144449</v>
      </c>
      <c r="C102" s="137">
        <f t="shared" si="44"/>
        <v>1099641</v>
      </c>
      <c r="D102" s="137">
        <f>SUM(D90:D101)</f>
        <v>1139420</v>
      </c>
      <c r="E102" s="137">
        <f>SUM(E90:E101)</f>
        <v>1065454</v>
      </c>
      <c r="J102" s="113">
        <f>B106-B74</f>
        <v>31411</v>
      </c>
    </row>
    <row r="103" spans="1:19" ht="16.5" thickTop="1" thickBot="1" x14ac:dyDescent="0.3"/>
    <row r="104" spans="1:19" ht="17.25" thickTop="1" thickBot="1" x14ac:dyDescent="0.3">
      <c r="A104" s="140" t="s">
        <v>129</v>
      </c>
      <c r="B104" s="142"/>
    </row>
    <row r="105" spans="1:19" ht="16.5" thickTop="1" x14ac:dyDescent="0.25">
      <c r="A105" s="124"/>
      <c r="B105" s="125">
        <v>2014</v>
      </c>
      <c r="C105" s="125">
        <v>2015</v>
      </c>
      <c r="D105" s="125">
        <v>2016</v>
      </c>
      <c r="E105" s="125">
        <v>2017</v>
      </c>
      <c r="F105" s="126" t="s">
        <v>1</v>
      </c>
      <c r="G105" s="117" t="s">
        <v>18</v>
      </c>
      <c r="H105" s="117" t="s">
        <v>17</v>
      </c>
    </row>
    <row r="106" spans="1:19" x14ac:dyDescent="0.25">
      <c r="A106" s="119" t="s">
        <v>2</v>
      </c>
      <c r="B106" s="77">
        <v>37188</v>
      </c>
      <c r="C106" s="77">
        <v>42472</v>
      </c>
      <c r="D106" s="77">
        <v>53913</v>
      </c>
      <c r="E106" s="180">
        <f>AVERAGE(A106:D106)</f>
        <v>44524.333333333336</v>
      </c>
      <c r="F106" s="127">
        <f t="shared" ref="E106:F117" si="45">AVERAGE(B106:E106)</f>
        <v>44524.333333333336</v>
      </c>
      <c r="G106" s="127">
        <f t="shared" ref="G106:G117" si="46">STDEVA(B106:E106)</f>
        <v>6980.4708691860715</v>
      </c>
      <c r="H106" s="127">
        <f t="shared" ref="H106:H117" si="47">STDEVA(B106:E106)</f>
        <v>6980.4708691860715</v>
      </c>
      <c r="J106" s="113">
        <f>B106-B74</f>
        <v>31411</v>
      </c>
      <c r="K106" s="113">
        <f t="shared" ref="K106:M117" si="48">C106-C74</f>
        <v>37326</v>
      </c>
      <c r="L106" s="113">
        <f t="shared" si="48"/>
        <v>46083</v>
      </c>
      <c r="M106" s="113">
        <f t="shared" si="48"/>
        <v>39133.333333333336</v>
      </c>
      <c r="O106" s="45">
        <f>B74/B106</f>
        <v>0.15534581047649779</v>
      </c>
      <c r="P106" s="45">
        <f t="shared" ref="P106:S117" si="49">C74/C106</f>
        <v>0.12116217743454512</v>
      </c>
      <c r="Q106" s="45">
        <f t="shared" si="49"/>
        <v>0.14523398809192589</v>
      </c>
      <c r="R106" s="45">
        <f t="shared" si="49"/>
        <v>0.12107985895353102</v>
      </c>
      <c r="S106" s="45">
        <f>F74/F106</f>
        <v>0</v>
      </c>
    </row>
    <row r="107" spans="1:19" x14ac:dyDescent="0.25">
      <c r="A107" s="119" t="s">
        <v>3</v>
      </c>
      <c r="B107" s="77">
        <v>36508</v>
      </c>
      <c r="C107" s="77">
        <v>34508</v>
      </c>
      <c r="D107" s="77">
        <v>39250</v>
      </c>
      <c r="E107" s="180">
        <f t="shared" si="45"/>
        <v>36755.333333333336</v>
      </c>
      <c r="F107" s="127">
        <f t="shared" si="45"/>
        <v>36755.333333333336</v>
      </c>
      <c r="G107" s="127">
        <f t="shared" si="46"/>
        <v>1943.7972002129122</v>
      </c>
      <c r="H107" s="127">
        <f t="shared" si="47"/>
        <v>1943.7972002129122</v>
      </c>
      <c r="J107" s="113">
        <f t="shared" ref="J107:J117" si="50">B107-B75</f>
        <v>33161</v>
      </c>
      <c r="K107" s="113">
        <f t="shared" si="48"/>
        <v>29555</v>
      </c>
      <c r="L107" s="113">
        <f t="shared" si="48"/>
        <v>32436</v>
      </c>
      <c r="M107" s="113">
        <f t="shared" si="48"/>
        <v>31004.333333333336</v>
      </c>
      <c r="O107" s="45">
        <f t="shared" ref="O107:O117" si="51">B75/B107</f>
        <v>9.1678536211241377E-2</v>
      </c>
      <c r="P107" s="45">
        <f t="shared" si="49"/>
        <v>0.14353193462385533</v>
      </c>
      <c r="Q107" s="45">
        <f t="shared" si="49"/>
        <v>0.17360509554140127</v>
      </c>
      <c r="R107" s="45">
        <f t="shared" si="49"/>
        <v>0.15646708867647324</v>
      </c>
      <c r="S107" s="45">
        <f t="shared" si="49"/>
        <v>0</v>
      </c>
    </row>
    <row r="108" spans="1:19" x14ac:dyDescent="0.25">
      <c r="A108" s="119" t="s">
        <v>4</v>
      </c>
      <c r="B108" s="77">
        <f>38840+1100</f>
        <v>39940</v>
      </c>
      <c r="C108" s="77">
        <v>38024</v>
      </c>
      <c r="D108" s="77">
        <v>49680</v>
      </c>
      <c r="E108" s="180">
        <f t="shared" si="45"/>
        <v>42548</v>
      </c>
      <c r="F108" s="127">
        <f t="shared" si="45"/>
        <v>42548</v>
      </c>
      <c r="G108" s="127">
        <f t="shared" si="46"/>
        <v>5103.3865880086596</v>
      </c>
      <c r="H108" s="127">
        <f t="shared" si="47"/>
        <v>5103.3865880086596</v>
      </c>
      <c r="J108" s="113">
        <f t="shared" si="50"/>
        <v>34673</v>
      </c>
      <c r="K108" s="113">
        <f t="shared" si="48"/>
        <v>33080</v>
      </c>
      <c r="L108" s="113">
        <f t="shared" si="48"/>
        <v>42077</v>
      </c>
      <c r="M108" s="113">
        <f t="shared" si="48"/>
        <v>34517</v>
      </c>
      <c r="O108" s="45">
        <f t="shared" si="51"/>
        <v>0.13187280921382072</v>
      </c>
      <c r="P108" s="45">
        <f t="shared" si="49"/>
        <v>0.13002314327792974</v>
      </c>
      <c r="Q108" s="45">
        <f t="shared" si="49"/>
        <v>0.15303945249597423</v>
      </c>
      <c r="R108" s="45">
        <f t="shared" si="49"/>
        <v>0.18875152768637773</v>
      </c>
      <c r="S108" s="45">
        <f t="shared" si="49"/>
        <v>0</v>
      </c>
    </row>
    <row r="109" spans="1:19" x14ac:dyDescent="0.25">
      <c r="A109" s="119" t="s">
        <v>5</v>
      </c>
      <c r="B109" s="77">
        <v>61978</v>
      </c>
      <c r="C109" s="77">
        <v>76729</v>
      </c>
      <c r="D109" s="77">
        <v>102800</v>
      </c>
      <c r="E109" s="180">
        <f t="shared" si="45"/>
        <v>80502.333333333328</v>
      </c>
      <c r="F109" s="127">
        <f t="shared" si="45"/>
        <v>80502.333333333328</v>
      </c>
      <c r="G109" s="127">
        <f t="shared" si="46"/>
        <v>16877.745788134423</v>
      </c>
      <c r="H109" s="127">
        <f t="shared" si="47"/>
        <v>16877.745788134423</v>
      </c>
      <c r="J109" s="113">
        <f t="shared" si="50"/>
        <v>46418</v>
      </c>
      <c r="K109" s="113">
        <f t="shared" si="48"/>
        <v>56684</v>
      </c>
      <c r="L109" s="113">
        <f t="shared" si="48"/>
        <v>77959</v>
      </c>
      <c r="M109" s="113">
        <f t="shared" si="48"/>
        <v>61519.333333333328</v>
      </c>
      <c r="O109" s="45">
        <f t="shared" si="51"/>
        <v>0.25105682661589596</v>
      </c>
      <c r="P109" s="45">
        <f t="shared" si="49"/>
        <v>0.26124411891201499</v>
      </c>
      <c r="Q109" s="45">
        <f t="shared" si="49"/>
        <v>0.24164396887159534</v>
      </c>
      <c r="R109" s="45">
        <f t="shared" si="49"/>
        <v>0.23580682961570473</v>
      </c>
      <c r="S109" s="45">
        <f t="shared" si="49"/>
        <v>0</v>
      </c>
    </row>
    <row r="110" spans="1:19" x14ac:dyDescent="0.25">
      <c r="A110" s="119" t="s">
        <v>6</v>
      </c>
      <c r="B110" s="77">
        <v>82332</v>
      </c>
      <c r="C110" s="77">
        <v>102572</v>
      </c>
      <c r="D110" s="77">
        <v>83626</v>
      </c>
      <c r="E110" s="180">
        <f t="shared" si="45"/>
        <v>89510</v>
      </c>
      <c r="F110" s="127">
        <f t="shared" si="45"/>
        <v>89510</v>
      </c>
      <c r="G110" s="127">
        <f t="shared" si="46"/>
        <v>9251.3239412889798</v>
      </c>
      <c r="H110" s="127">
        <f t="shared" si="47"/>
        <v>9251.3239412889798</v>
      </c>
      <c r="J110" s="113">
        <f t="shared" si="50"/>
        <v>59412</v>
      </c>
      <c r="K110" s="113">
        <f t="shared" si="48"/>
        <v>67595</v>
      </c>
      <c r="L110" s="113">
        <f t="shared" si="48"/>
        <v>58740</v>
      </c>
      <c r="M110" s="113">
        <f t="shared" si="48"/>
        <v>64919</v>
      </c>
      <c r="O110" s="45">
        <f t="shared" si="51"/>
        <v>0.27838507506194432</v>
      </c>
      <c r="P110" s="45">
        <f t="shared" si="49"/>
        <v>0.34099949303903598</v>
      </c>
      <c r="Q110" s="45">
        <f t="shared" si="49"/>
        <v>0.29758687489536745</v>
      </c>
      <c r="R110" s="45">
        <f t="shared" si="49"/>
        <v>0.27472908054965928</v>
      </c>
      <c r="S110" s="45">
        <f t="shared" si="49"/>
        <v>0</v>
      </c>
    </row>
    <row r="111" spans="1:19" x14ac:dyDescent="0.25">
      <c r="A111" s="119" t="s">
        <v>7</v>
      </c>
      <c r="B111" s="77">
        <v>108509</v>
      </c>
      <c r="C111" s="77">
        <v>121989</v>
      </c>
      <c r="D111" s="77">
        <f>99518+62600</f>
        <v>162118</v>
      </c>
      <c r="E111" s="180">
        <f t="shared" si="45"/>
        <v>130872</v>
      </c>
      <c r="F111" s="127">
        <f t="shared" si="45"/>
        <v>130872</v>
      </c>
      <c r="G111" s="127">
        <f t="shared" si="46"/>
        <v>22769.306635615118</v>
      </c>
      <c r="H111" s="127">
        <f t="shared" si="47"/>
        <v>22769.306635615118</v>
      </c>
      <c r="J111" s="113">
        <f t="shared" si="50"/>
        <v>70623</v>
      </c>
      <c r="K111" s="113">
        <f t="shared" si="48"/>
        <v>86481</v>
      </c>
      <c r="L111" s="113">
        <f t="shared" si="48"/>
        <v>125047</v>
      </c>
      <c r="M111" s="113">
        <f t="shared" si="48"/>
        <v>88337</v>
      </c>
      <c r="O111" s="45">
        <f t="shared" si="51"/>
        <v>0.3491507616879706</v>
      </c>
      <c r="P111" s="45">
        <f t="shared" si="49"/>
        <v>0.29107542483338661</v>
      </c>
      <c r="Q111" s="45">
        <f t="shared" si="49"/>
        <v>0.22866677358467288</v>
      </c>
      <c r="R111" s="45">
        <f t="shared" si="49"/>
        <v>0.32501222568616661</v>
      </c>
      <c r="S111" s="45">
        <f t="shared" si="49"/>
        <v>0</v>
      </c>
    </row>
    <row r="112" spans="1:19" x14ac:dyDescent="0.25">
      <c r="A112" s="119" t="s">
        <v>8</v>
      </c>
      <c r="B112" s="77">
        <f>130308+20358</f>
        <v>150666</v>
      </c>
      <c r="C112" s="77">
        <v>132135</v>
      </c>
      <c r="D112" s="77">
        <f>171853+85200</f>
        <v>257053</v>
      </c>
      <c r="E112" s="180">
        <f t="shared" si="45"/>
        <v>179951.33333333334</v>
      </c>
      <c r="F112" s="127">
        <f t="shared" si="45"/>
        <v>179951.33333333334</v>
      </c>
      <c r="G112" s="127">
        <f t="shared" si="46"/>
        <v>55041.497934639192</v>
      </c>
      <c r="H112" s="127">
        <f t="shared" si="47"/>
        <v>55041.497934639192</v>
      </c>
      <c r="J112" s="113">
        <f t="shared" si="50"/>
        <v>69263</v>
      </c>
      <c r="K112" s="113">
        <f t="shared" si="48"/>
        <v>57277</v>
      </c>
      <c r="L112" s="113">
        <f t="shared" si="48"/>
        <v>147392</v>
      </c>
      <c r="M112" s="113">
        <f t="shared" si="48"/>
        <v>91947.333333333343</v>
      </c>
      <c r="O112" s="45">
        <f t="shared" si="51"/>
        <v>0.54028778888402162</v>
      </c>
      <c r="P112" s="45">
        <f t="shared" si="49"/>
        <v>0.56652665834184734</v>
      </c>
      <c r="Q112" s="45">
        <f t="shared" si="49"/>
        <v>0.42660852042185854</v>
      </c>
      <c r="R112" s="45">
        <f t="shared" si="49"/>
        <v>0.48904333393843519</v>
      </c>
      <c r="S112" s="45">
        <f t="shared" si="49"/>
        <v>0</v>
      </c>
    </row>
    <row r="113" spans="1:19" x14ac:dyDescent="0.25">
      <c r="A113" s="119" t="s">
        <v>9</v>
      </c>
      <c r="B113" s="77">
        <f>128519+31668</f>
        <v>160187</v>
      </c>
      <c r="C113" s="77">
        <v>125034</v>
      </c>
      <c r="D113" s="77">
        <f>173084+35600</f>
        <v>208684</v>
      </c>
      <c r="E113" s="180">
        <f t="shared" si="45"/>
        <v>164635</v>
      </c>
      <c r="F113" s="127">
        <f t="shared" si="45"/>
        <v>164635</v>
      </c>
      <c r="G113" s="127">
        <f t="shared" si="46"/>
        <v>34294.500560099528</v>
      </c>
      <c r="H113" s="127">
        <f t="shared" si="47"/>
        <v>34294.500560099528</v>
      </c>
      <c r="J113" s="113">
        <f t="shared" si="50"/>
        <v>59779</v>
      </c>
      <c r="K113" s="113">
        <f t="shared" si="48"/>
        <v>35584</v>
      </c>
      <c r="L113" s="113">
        <f t="shared" si="48"/>
        <v>87716</v>
      </c>
      <c r="M113" s="113">
        <f t="shared" si="48"/>
        <v>41531</v>
      </c>
      <c r="O113" s="45">
        <f t="shared" si="51"/>
        <v>0.62681740715538714</v>
      </c>
      <c r="P113" s="45">
        <f t="shared" si="49"/>
        <v>0.71540540972855382</v>
      </c>
      <c r="Q113" s="45">
        <f t="shared" si="49"/>
        <v>0.57967069828065398</v>
      </c>
      <c r="R113" s="45">
        <f t="shared" si="49"/>
        <v>0.74773893764995292</v>
      </c>
      <c r="S113" s="45">
        <f t="shared" si="49"/>
        <v>0</v>
      </c>
    </row>
    <row r="114" spans="1:19" x14ac:dyDescent="0.25">
      <c r="A114" s="119" t="s">
        <v>10</v>
      </c>
      <c r="B114" s="77">
        <v>109730</v>
      </c>
      <c r="C114" s="77">
        <v>118158</v>
      </c>
      <c r="D114" s="77">
        <v>114565</v>
      </c>
      <c r="E114" s="180">
        <f t="shared" si="45"/>
        <v>114151</v>
      </c>
      <c r="F114" s="127">
        <f t="shared" si="45"/>
        <v>114151</v>
      </c>
      <c r="G114" s="127">
        <f t="shared" si="46"/>
        <v>3453.1476462304167</v>
      </c>
      <c r="H114" s="127">
        <f t="shared" si="47"/>
        <v>3453.1476462304167</v>
      </c>
      <c r="J114" s="113">
        <f t="shared" si="50"/>
        <v>72236</v>
      </c>
      <c r="K114" s="113">
        <f t="shared" si="48"/>
        <v>74897</v>
      </c>
      <c r="L114" s="113">
        <f t="shared" si="48"/>
        <v>72188</v>
      </c>
      <c r="M114" s="113">
        <f t="shared" si="48"/>
        <v>69447</v>
      </c>
      <c r="O114" s="45">
        <f t="shared" si="51"/>
        <v>0.34169324706096782</v>
      </c>
      <c r="P114" s="45">
        <f t="shared" si="49"/>
        <v>0.36612840433995159</v>
      </c>
      <c r="Q114" s="45">
        <f t="shared" si="49"/>
        <v>0.36989481953476194</v>
      </c>
      <c r="R114" s="45">
        <f t="shared" si="49"/>
        <v>0.39162162398927736</v>
      </c>
      <c r="S114" s="45">
        <f t="shared" si="49"/>
        <v>0</v>
      </c>
    </row>
    <row r="115" spans="1:19" x14ac:dyDescent="0.25">
      <c r="A115" s="119" t="s">
        <v>11</v>
      </c>
      <c r="B115" s="77">
        <v>57606</v>
      </c>
      <c r="C115" s="77">
        <v>65744</v>
      </c>
      <c r="D115" s="77">
        <v>54540</v>
      </c>
      <c r="E115" s="180">
        <f t="shared" si="45"/>
        <v>59296.666666666664</v>
      </c>
      <c r="F115" s="127">
        <f t="shared" si="45"/>
        <v>59296.666666666664</v>
      </c>
      <c r="G115" s="127">
        <f t="shared" si="46"/>
        <v>4727.6611083659072</v>
      </c>
      <c r="H115" s="127">
        <f t="shared" si="47"/>
        <v>4727.6611083659072</v>
      </c>
      <c r="J115" s="113">
        <f t="shared" si="50"/>
        <v>38909</v>
      </c>
      <c r="K115" s="113">
        <f t="shared" si="48"/>
        <v>47407</v>
      </c>
      <c r="L115" s="113">
        <f t="shared" si="48"/>
        <v>36359</v>
      </c>
      <c r="M115" s="113">
        <f t="shared" si="48"/>
        <v>42139.666666666664</v>
      </c>
      <c r="O115" s="45">
        <f t="shared" si="51"/>
        <v>0.32456688539388256</v>
      </c>
      <c r="P115" s="45">
        <f t="shared" si="49"/>
        <v>0.27891518617668531</v>
      </c>
      <c r="Q115" s="45">
        <f t="shared" si="49"/>
        <v>0.33335166850018333</v>
      </c>
      <c r="R115" s="45">
        <f t="shared" si="49"/>
        <v>0.28934172803417846</v>
      </c>
      <c r="S115" s="45">
        <f t="shared" si="49"/>
        <v>0</v>
      </c>
    </row>
    <row r="116" spans="1:19" x14ac:dyDescent="0.25">
      <c r="A116" s="119" t="s">
        <v>12</v>
      </c>
      <c r="B116" s="77">
        <v>34370</v>
      </c>
      <c r="C116" s="77">
        <v>43770</v>
      </c>
      <c r="D116" s="77">
        <v>62982</v>
      </c>
      <c r="E116" s="180"/>
      <c r="F116" s="127">
        <f t="shared" si="45"/>
        <v>47040.666666666664</v>
      </c>
      <c r="G116" s="127">
        <f t="shared" si="46"/>
        <v>14583.709450387905</v>
      </c>
      <c r="H116" s="127">
        <f t="shared" si="47"/>
        <v>14583.709450387905</v>
      </c>
      <c r="J116" s="113">
        <f t="shared" si="50"/>
        <v>28192</v>
      </c>
      <c r="K116" s="113">
        <f t="shared" si="48"/>
        <v>37546</v>
      </c>
      <c r="L116" s="113">
        <f t="shared" si="48"/>
        <v>55811</v>
      </c>
      <c r="M116" s="113">
        <f t="shared" si="48"/>
        <v>0</v>
      </c>
      <c r="O116" s="45">
        <f t="shared" si="51"/>
        <v>0.17974978178644166</v>
      </c>
      <c r="P116" s="45">
        <f t="shared" si="49"/>
        <v>0.1421978524103267</v>
      </c>
      <c r="Q116" s="45">
        <f t="shared" si="49"/>
        <v>0.11385792766187165</v>
      </c>
      <c r="R116" s="45" t="e">
        <f t="shared" si="49"/>
        <v>#DIV/0!</v>
      </c>
      <c r="S116" s="45">
        <f t="shared" si="49"/>
        <v>0</v>
      </c>
    </row>
    <row r="117" spans="1:19" ht="15.75" thickBot="1" x14ac:dyDescent="0.3">
      <c r="A117" s="139" t="s">
        <v>13</v>
      </c>
      <c r="B117" s="43">
        <v>38476</v>
      </c>
      <c r="C117" s="43">
        <v>45671</v>
      </c>
      <c r="D117" s="43">
        <f>58123+9600</f>
        <v>67723</v>
      </c>
      <c r="E117" s="180"/>
      <c r="F117" s="127">
        <f t="shared" si="45"/>
        <v>50623.333333333336</v>
      </c>
      <c r="G117" s="127">
        <f t="shared" si="46"/>
        <v>15239.453938161088</v>
      </c>
      <c r="H117" s="127">
        <f t="shared" si="47"/>
        <v>15239.453938161088</v>
      </c>
      <c r="J117" s="113">
        <f t="shared" si="50"/>
        <v>29263</v>
      </c>
      <c r="K117" s="113">
        <f t="shared" si="48"/>
        <v>36458</v>
      </c>
      <c r="L117" s="113">
        <f t="shared" si="48"/>
        <v>58565</v>
      </c>
      <c r="M117" s="113">
        <f t="shared" si="48"/>
        <v>0</v>
      </c>
      <c r="O117" s="45">
        <f t="shared" si="51"/>
        <v>0.23944796756419587</v>
      </c>
      <c r="P117" s="45">
        <f t="shared" si="49"/>
        <v>0.20172538372271245</v>
      </c>
      <c r="Q117" s="45">
        <f t="shared" si="49"/>
        <v>0.13522732306601892</v>
      </c>
      <c r="R117" s="45" t="e">
        <f t="shared" si="49"/>
        <v>#DIV/0!</v>
      </c>
      <c r="S117" s="45">
        <f t="shared" si="49"/>
        <v>0</v>
      </c>
    </row>
    <row r="118" spans="1:19" ht="16.5" thickTop="1" thickBot="1" x14ac:dyDescent="0.3">
      <c r="A118" s="138" t="s">
        <v>0</v>
      </c>
      <c r="B118" s="137">
        <f t="shared" ref="B118:D118" si="52">SUM(B106:B117)</f>
        <v>917490</v>
      </c>
      <c r="C118" s="137">
        <f t="shared" si="52"/>
        <v>946806</v>
      </c>
      <c r="D118" s="137">
        <f t="shared" si="52"/>
        <v>1256934</v>
      </c>
      <c r="E118" s="137">
        <f t="shared" ref="E118" si="53">SUM(E106:E117)</f>
        <v>942746</v>
      </c>
    </row>
    <row r="119" spans="1:19" ht="15.75" thickTop="1" x14ac:dyDescent="0.25">
      <c r="A119" s="1" t="s">
        <v>132</v>
      </c>
      <c r="B119" s="1"/>
      <c r="F119" s="127"/>
    </row>
    <row r="120" spans="1:19" x14ac:dyDescent="0.25">
      <c r="A120" s="130" t="s">
        <v>15</v>
      </c>
      <c r="B120" s="127">
        <f t="shared" ref="B120:G120" si="54">AVERAGE(B106:B108,B115:B117)</f>
        <v>40681.333333333336</v>
      </c>
      <c r="C120" s="127">
        <f t="shared" si="54"/>
        <v>45031.5</v>
      </c>
      <c r="D120" s="127">
        <f t="shared" si="54"/>
        <v>54681.333333333336</v>
      </c>
      <c r="E120" s="127">
        <f t="shared" si="54"/>
        <v>45781.083333333336</v>
      </c>
      <c r="F120" s="127">
        <f t="shared" si="54"/>
        <v>46798.055555555555</v>
      </c>
      <c r="G120" s="127">
        <f t="shared" si="54"/>
        <v>8096.4131923870909</v>
      </c>
      <c r="H120" s="131"/>
    </row>
    <row r="121" spans="1:19" x14ac:dyDescent="0.25">
      <c r="A121" s="130" t="s">
        <v>16</v>
      </c>
      <c r="B121" s="127">
        <f t="shared" ref="B121:G121" si="55">AVERAGE(B109:B114)</f>
        <v>112233.66666666667</v>
      </c>
      <c r="C121" s="127">
        <f t="shared" si="55"/>
        <v>112769.5</v>
      </c>
      <c r="D121" s="127">
        <f t="shared" si="55"/>
        <v>154807.66666666666</v>
      </c>
      <c r="E121" s="127">
        <f t="shared" si="55"/>
        <v>126603.61111111111</v>
      </c>
      <c r="F121" s="127">
        <f t="shared" si="55"/>
        <v>126603.61111111111</v>
      </c>
      <c r="G121" s="127">
        <f t="shared" si="55"/>
        <v>23614.587084334609</v>
      </c>
    </row>
  </sheetData>
  <mergeCells count="4">
    <mergeCell ref="A16:B16"/>
    <mergeCell ref="A35:F35"/>
    <mergeCell ref="A54:F54"/>
    <mergeCell ref="A119:B119"/>
  </mergeCells>
  <conditionalFormatting sqref="T3:X15">
    <cfRule type="cellIs" dxfId="45" priority="5" operator="greaterThan">
      <formula>1</formula>
    </cfRule>
  </conditionalFormatting>
  <conditionalFormatting sqref="K22:O34">
    <cfRule type="cellIs" dxfId="44" priority="4" operator="lessThan">
      <formula>0</formula>
    </cfRule>
  </conditionalFormatting>
  <conditionalFormatting sqref="K41:N53">
    <cfRule type="cellIs" dxfId="43" priority="2" operator="greaterThan">
      <formula>0</formula>
    </cfRule>
  </conditionalFormatting>
  <conditionalFormatting sqref="T3:X15">
    <cfRule type="cellIs" dxfId="42" priority="1" operator="greaterThan">
      <formula>0.8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4"/>
  <sheetViews>
    <sheetView topLeftCell="P1" zoomScale="70" zoomScaleNormal="70" workbookViewId="0">
      <selection activeCell="S1" sqref="S1"/>
    </sheetView>
  </sheetViews>
  <sheetFormatPr baseColWidth="10" defaultColWidth="11.42578125" defaultRowHeight="15" x14ac:dyDescent="0.25"/>
  <cols>
    <col min="1" max="9" width="11.42578125" style="117"/>
    <col min="10" max="10" width="12.140625" style="117" customWidth="1"/>
    <col min="11" max="16384" width="11.42578125" style="117"/>
  </cols>
  <sheetData>
    <row r="1" spans="1:44" ht="17.25" thickTop="1" thickBot="1" x14ac:dyDescent="0.3">
      <c r="A1" s="140" t="s">
        <v>77</v>
      </c>
      <c r="B1" s="142"/>
      <c r="J1" s="140" t="s">
        <v>182</v>
      </c>
      <c r="K1" s="142"/>
      <c r="S1" s="140" t="s">
        <v>259</v>
      </c>
      <c r="T1" s="142"/>
      <c r="AB1" s="140" t="s">
        <v>183</v>
      </c>
      <c r="AC1" s="142"/>
      <c r="AK1" s="140" t="s">
        <v>258</v>
      </c>
      <c r="AL1" s="142"/>
    </row>
    <row r="2" spans="1:44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117" t="s">
        <v>74</v>
      </c>
      <c r="Q2" s="117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117" t="s">
        <v>74</v>
      </c>
      <c r="Z2" s="117" t="s">
        <v>75</v>
      </c>
      <c r="AB2" s="124"/>
      <c r="AC2" s="125">
        <v>2014</v>
      </c>
      <c r="AD2" s="125">
        <v>2015</v>
      </c>
      <c r="AE2" s="125">
        <v>2016</v>
      </c>
      <c r="AF2" s="125">
        <v>2017</v>
      </c>
      <c r="AG2" s="126" t="s">
        <v>1</v>
      </c>
      <c r="AH2" s="117" t="s">
        <v>74</v>
      </c>
      <c r="AI2" s="117" t="s">
        <v>75</v>
      </c>
      <c r="AK2" s="124"/>
      <c r="AL2" s="125">
        <v>2014</v>
      </c>
      <c r="AM2" s="125">
        <v>2015</v>
      </c>
      <c r="AN2" s="125">
        <v>2016</v>
      </c>
      <c r="AO2" s="125">
        <v>2017</v>
      </c>
      <c r="AP2" s="126" t="s">
        <v>1</v>
      </c>
      <c r="AQ2" s="117" t="s">
        <v>74</v>
      </c>
      <c r="AR2" s="117" t="s">
        <v>75</v>
      </c>
    </row>
    <row r="3" spans="1:44" x14ac:dyDescent="0.25">
      <c r="A3" s="119" t="s">
        <v>2</v>
      </c>
      <c r="B3" s="132">
        <f>'BASTIA 2014'!BC4+'BASTIA 2014'!BC21</f>
        <v>24518</v>
      </c>
      <c r="C3" s="132">
        <f>'BASTIA 2015'!BC4+'BASTIA 2015'!BC21</f>
        <v>20300.400000000001</v>
      </c>
      <c r="D3" s="132">
        <f>'BASTIA 2016'!BC4+'BASTIA 2016'!BC21</f>
        <v>23309.200000000001</v>
      </c>
      <c r="E3" s="42">
        <f>'BASTIA 2017'!BC4+'BASTIA 2017'!BC21</f>
        <v>20638.800000000003</v>
      </c>
      <c r="F3" s="127">
        <f t="shared" ref="F3:F14" si="0">AVERAGE(B3:E3)</f>
        <v>22191.600000000002</v>
      </c>
      <c r="G3" s="127">
        <f t="shared" ref="G3:G14" si="1">STDEVA(B3:E3)</f>
        <v>2053.3705624330601</v>
      </c>
      <c r="H3" s="127">
        <f t="shared" ref="H3:H14" si="2">STDEVA(B3:E3)</f>
        <v>2053.3705624330601</v>
      </c>
      <c r="J3" s="119" t="s">
        <v>2</v>
      </c>
      <c r="K3" s="41"/>
      <c r="L3" s="41"/>
      <c r="M3" s="41"/>
      <c r="N3" s="41"/>
      <c r="O3" s="122"/>
      <c r="P3" s="123">
        <f>MAX(K3:N3)</f>
        <v>0</v>
      </c>
      <c r="Q3" s="123">
        <f>MIN(K3:N3)</f>
        <v>0</v>
      </c>
      <c r="S3" s="119" t="s">
        <v>2</v>
      </c>
      <c r="T3" s="41">
        <f t="shared" ref="T3:W14" si="3">B58/B3</f>
        <v>3.1680805938494165</v>
      </c>
      <c r="U3" s="41">
        <f t="shared" si="3"/>
        <v>3.9300210833284068</v>
      </c>
      <c r="V3" s="41">
        <f t="shared" si="3"/>
        <v>3.3517666843992928</v>
      </c>
      <c r="W3" s="41">
        <f t="shared" si="3"/>
        <v>3.8514351609589701</v>
      </c>
      <c r="X3" s="122">
        <f>AVERAGE(T3:W3)</f>
        <v>3.5753258806340211</v>
      </c>
      <c r="Y3" s="123">
        <f>MAX(T3:W3)</f>
        <v>3.9300210833284068</v>
      </c>
      <c r="Z3" s="123">
        <f>MIN(T3:W3)</f>
        <v>3.1680805938494165</v>
      </c>
      <c r="AB3" s="119" t="s">
        <v>2</v>
      </c>
      <c r="AC3" s="41">
        <f>B127/B144</f>
        <v>0.23545229643971174</v>
      </c>
      <c r="AD3" s="41">
        <f>C127/C144</f>
        <v>0.2002260312676587</v>
      </c>
      <c r="AE3" s="41">
        <f>D127/D144</f>
        <v>0.22785279715091261</v>
      </c>
      <c r="AF3" s="41">
        <f>E127/E144</f>
        <v>0.19414248495193603</v>
      </c>
      <c r="AG3" s="122">
        <f>AVERAGE(AC3:AF3)</f>
        <v>0.21441840245255478</v>
      </c>
      <c r="AH3" s="123">
        <f>MAX(AC3:AF3)</f>
        <v>0.23545229643971174</v>
      </c>
      <c r="AI3" s="123">
        <f>MIN(AC3:AF3)</f>
        <v>0.19414248495193603</v>
      </c>
      <c r="AK3" s="119" t="s">
        <v>2</v>
      </c>
      <c r="AL3" s="41">
        <f>(B74+B91+B127)/(B3+B144)</f>
        <v>0.86286706481711162</v>
      </c>
      <c r="AM3" s="41">
        <f t="shared" ref="AM3:AO14" si="4">(C74+C91+C127)/(C3+C144)</f>
        <v>0.88007914960195111</v>
      </c>
      <c r="AN3" s="41">
        <f t="shared" si="4"/>
        <v>0.70718131502654402</v>
      </c>
      <c r="AO3" s="41">
        <f t="shared" si="4"/>
        <v>0.78836907154675573</v>
      </c>
      <c r="AP3" s="146">
        <f>AVERAGE(AL3:AO3)</f>
        <v>0.80962415024809053</v>
      </c>
      <c r="AQ3" s="123">
        <f>MAX(AL3:AO3)</f>
        <v>0.88007914960195111</v>
      </c>
      <c r="AR3" s="123">
        <f>MIN(AL3:AO3)</f>
        <v>0.70718131502654402</v>
      </c>
    </row>
    <row r="4" spans="1:44" x14ac:dyDescent="0.25">
      <c r="A4" s="119" t="s">
        <v>3</v>
      </c>
      <c r="B4" s="132">
        <f>'BASTIA 2014'!BC5+'BASTIA 2014'!BC22</f>
        <v>25621.599999999999</v>
      </c>
      <c r="C4" s="132">
        <f>'BASTIA 2015'!BC5+'BASTIA 2015'!BC22</f>
        <v>23945.200000000001</v>
      </c>
      <c r="D4" s="132">
        <f>'BASTIA 2016'!BC5+'BASTIA 2016'!BC22</f>
        <v>23752</v>
      </c>
      <c r="E4" s="42">
        <f>'BASTIA 2017'!BC5+'BASTIA 2017'!BC22</f>
        <v>19013.599999999999</v>
      </c>
      <c r="F4" s="127">
        <f t="shared" si="0"/>
        <v>23083.1</v>
      </c>
      <c r="G4" s="127">
        <f t="shared" si="1"/>
        <v>2839.9211327077451</v>
      </c>
      <c r="H4" s="127">
        <f t="shared" si="2"/>
        <v>2839.9211327077451</v>
      </c>
      <c r="J4" s="119" t="s">
        <v>3</v>
      </c>
      <c r="K4" s="41"/>
      <c r="L4" s="41"/>
      <c r="M4" s="41"/>
      <c r="N4" s="41"/>
      <c r="O4" s="122"/>
      <c r="P4" s="123">
        <f t="shared" ref="P4:P14" si="5">MAX(K4:N4)</f>
        <v>0</v>
      </c>
      <c r="Q4" s="123">
        <f t="shared" ref="Q4:Q14" si="6">MIN(K4:N4)</f>
        <v>0</v>
      </c>
      <c r="S4" s="119" t="s">
        <v>3</v>
      </c>
      <c r="T4" s="41">
        <f t="shared" si="3"/>
        <v>2.9492303369032382</v>
      </c>
      <c r="U4" s="41">
        <f t="shared" si="3"/>
        <v>3.2449092093613752</v>
      </c>
      <c r="V4" s="41">
        <f t="shared" si="3"/>
        <v>3.4467413270461433</v>
      </c>
      <c r="W4" s="41">
        <f t="shared" si="3"/>
        <v>4.1904741868977995</v>
      </c>
      <c r="X4" s="122">
        <f t="shared" ref="X4:X14" si="7">AVERAGE(T4:W4)</f>
        <v>3.4578387650521387</v>
      </c>
      <c r="Y4" s="123">
        <f t="shared" ref="Y4:Y14" si="8">MAX(T4:W4)</f>
        <v>4.1904741868977995</v>
      </c>
      <c r="Z4" s="123">
        <f t="shared" ref="Z4:Z14" si="9">MIN(T4:W4)</f>
        <v>2.9492303369032382</v>
      </c>
      <c r="AB4" s="119" t="s">
        <v>3</v>
      </c>
      <c r="AC4" s="41">
        <f t="shared" ref="AC4:AF14" si="10">B128/B145</f>
        <v>0.15613016325189</v>
      </c>
      <c r="AD4" s="41">
        <f t="shared" si="10"/>
        <v>0.21757273675669411</v>
      </c>
      <c r="AE4" s="41">
        <f t="shared" si="10"/>
        <v>0.2623051054723326</v>
      </c>
      <c r="AF4" s="41">
        <f t="shared" si="10"/>
        <v>0.23517248884535857</v>
      </c>
      <c r="AG4" s="122">
        <f t="shared" ref="AG4:AG14" si="11">AVERAGE(AC4:AF4)</f>
        <v>0.21779512358156883</v>
      </c>
      <c r="AH4" s="123">
        <f t="shared" ref="AH4:AH14" si="12">MAX(AC4:AF4)</f>
        <v>0.2623051054723326</v>
      </c>
      <c r="AI4" s="123">
        <f t="shared" ref="AI4:AI14" si="13">MIN(AC4:AF4)</f>
        <v>0.15613016325189</v>
      </c>
      <c r="AK4" s="119" t="s">
        <v>3</v>
      </c>
      <c r="AL4" s="41">
        <f t="shared" ref="AL4:AL14" si="14">(B75+B92+B128)/(B4+B145)</f>
        <v>0.78013154071687052</v>
      </c>
      <c r="AM4" s="41">
        <f t="shared" si="4"/>
        <v>0.8251080756710325</v>
      </c>
      <c r="AN4" s="41">
        <f t="shared" si="4"/>
        <v>0.88503694233986951</v>
      </c>
      <c r="AO4" s="41">
        <f t="shared" si="4"/>
        <v>0.8991511487615016</v>
      </c>
      <c r="AP4" s="146">
        <f t="shared" ref="AP4:AP14" si="15">AVERAGE(AL4:AO4)</f>
        <v>0.84735692687231856</v>
      </c>
      <c r="AQ4" s="123">
        <f t="shared" ref="AQ4:AQ14" si="16">MAX(AL4:AO4)</f>
        <v>0.8991511487615016</v>
      </c>
      <c r="AR4" s="123">
        <f t="shared" ref="AR4:AR14" si="17">MIN(AL4:AO4)</f>
        <v>0.78013154071687052</v>
      </c>
    </row>
    <row r="5" spans="1:44" x14ac:dyDescent="0.25">
      <c r="A5" s="119" t="s">
        <v>4</v>
      </c>
      <c r="B5" s="132">
        <f>'BASTIA 2014'!BC6+'BASTIA 2014'!BC23</f>
        <v>29114.399999999998</v>
      </c>
      <c r="C5" s="132">
        <f>'BASTIA 2015'!BC6+'BASTIA 2015'!BC23</f>
        <v>27406.799999999999</v>
      </c>
      <c r="D5" s="132">
        <f>'BASTIA 2016'!BC6+'BASTIA 2016'!BC23</f>
        <v>26041.199999999997</v>
      </c>
      <c r="E5" s="42">
        <f>'BASTIA 2017'!BC6+'BASTIA 2017'!BC23</f>
        <v>28336</v>
      </c>
      <c r="F5" s="127">
        <f t="shared" si="0"/>
        <v>27724.6</v>
      </c>
      <c r="G5" s="127">
        <f t="shared" si="1"/>
        <v>1321.6386798213805</v>
      </c>
      <c r="H5" s="127">
        <f t="shared" si="2"/>
        <v>1321.6386798213805</v>
      </c>
      <c r="J5" s="119" t="s">
        <v>4</v>
      </c>
      <c r="K5" s="41"/>
      <c r="L5" s="41"/>
      <c r="M5" s="41"/>
      <c r="N5" s="41"/>
      <c r="O5" s="122"/>
      <c r="P5" s="123">
        <f t="shared" si="5"/>
        <v>0</v>
      </c>
      <c r="Q5" s="123">
        <f t="shared" si="6"/>
        <v>0</v>
      </c>
      <c r="S5" s="119" t="s">
        <v>4</v>
      </c>
      <c r="T5" s="41">
        <f t="shared" si="3"/>
        <v>2.9740952930508615</v>
      </c>
      <c r="U5" s="41">
        <f t="shared" si="3"/>
        <v>3.4274705547528352</v>
      </c>
      <c r="V5" s="41">
        <f t="shared" si="3"/>
        <v>3.5289464387201823</v>
      </c>
      <c r="W5" s="41">
        <f t="shared" si="3"/>
        <v>3.5375494071146245</v>
      </c>
      <c r="X5" s="122">
        <f t="shared" si="7"/>
        <v>3.3670154234096259</v>
      </c>
      <c r="Y5" s="123">
        <f t="shared" si="8"/>
        <v>3.5375494071146245</v>
      </c>
      <c r="Z5" s="123">
        <f t="shared" si="9"/>
        <v>2.9740952930508615</v>
      </c>
      <c r="AB5" s="119" t="s">
        <v>4</v>
      </c>
      <c r="AC5" s="41">
        <f t="shared" si="10"/>
        <v>0.21161742613920881</v>
      </c>
      <c r="AD5" s="41">
        <f t="shared" si="10"/>
        <v>0.20513359983168525</v>
      </c>
      <c r="AE5" s="41">
        <f t="shared" si="10"/>
        <v>0.24524959742351046</v>
      </c>
      <c r="AF5" s="41">
        <f t="shared" si="10"/>
        <v>0.293973864811507</v>
      </c>
      <c r="AG5" s="122">
        <f t="shared" si="11"/>
        <v>0.23899362205147789</v>
      </c>
      <c r="AH5" s="123">
        <f t="shared" si="12"/>
        <v>0.293973864811507</v>
      </c>
      <c r="AI5" s="123">
        <f t="shared" si="13"/>
        <v>0.20513359983168525</v>
      </c>
      <c r="AK5" s="119" t="s">
        <v>4</v>
      </c>
      <c r="AL5" s="41">
        <f t="shared" si="14"/>
        <v>0.91021747300632827</v>
      </c>
      <c r="AM5" s="41">
        <f t="shared" si="4"/>
        <v>0.89005235602094235</v>
      </c>
      <c r="AN5" s="41">
        <f t="shared" si="4"/>
        <v>0.84467593031411725</v>
      </c>
      <c r="AO5" s="41">
        <f t="shared" si="4"/>
        <v>0.83401663153352035</v>
      </c>
      <c r="AP5" s="146">
        <f t="shared" si="15"/>
        <v>0.86974059771872703</v>
      </c>
      <c r="AQ5" s="123">
        <f t="shared" si="16"/>
        <v>0.91021747300632827</v>
      </c>
      <c r="AR5" s="123">
        <f t="shared" si="17"/>
        <v>0.83401663153352035</v>
      </c>
    </row>
    <row r="6" spans="1:44" x14ac:dyDescent="0.25">
      <c r="A6" s="119" t="s">
        <v>5</v>
      </c>
      <c r="B6" s="132">
        <f>'BASTIA 2014'!BC7+'BASTIA 2014'!BC24</f>
        <v>25399.200000000001</v>
      </c>
      <c r="C6" s="132">
        <f>'BASTIA 2015'!BC7+'BASTIA 2015'!BC24</f>
        <v>25542</v>
      </c>
      <c r="D6" s="132">
        <f>'BASTIA 2016'!BC7+'BASTIA 2016'!BC24</f>
        <v>24598.400000000001</v>
      </c>
      <c r="E6" s="42">
        <f>'BASTIA 2017'!BC7+'BASTIA 2017'!BC24</f>
        <v>24985.599999999999</v>
      </c>
      <c r="F6" s="127">
        <f t="shared" si="0"/>
        <v>25131.300000000003</v>
      </c>
      <c r="G6" s="127">
        <f t="shared" si="1"/>
        <v>426.48008941410899</v>
      </c>
      <c r="H6" s="127">
        <f t="shared" si="2"/>
        <v>426.48008941410899</v>
      </c>
      <c r="J6" s="119" t="s">
        <v>5</v>
      </c>
      <c r="K6" s="41"/>
      <c r="L6" s="41"/>
      <c r="M6" s="41"/>
      <c r="N6" s="41"/>
      <c r="O6" s="122"/>
      <c r="P6" s="123">
        <f t="shared" si="5"/>
        <v>0</v>
      </c>
      <c r="Q6" s="123">
        <f t="shared" si="6"/>
        <v>0</v>
      </c>
      <c r="S6" s="119" t="s">
        <v>5</v>
      </c>
      <c r="T6" s="41">
        <f t="shared" si="3"/>
        <v>3.6402721345554188</v>
      </c>
      <c r="U6" s="41">
        <f t="shared" si="3"/>
        <v>3.4714196225824132</v>
      </c>
      <c r="V6" s="41">
        <f t="shared" si="3"/>
        <v>3.5446614413945619</v>
      </c>
      <c r="W6" s="41">
        <f t="shared" si="3"/>
        <v>3.6124407658811477</v>
      </c>
      <c r="X6" s="122">
        <f t="shared" si="7"/>
        <v>3.5671984911033854</v>
      </c>
      <c r="Y6" s="123">
        <f t="shared" si="8"/>
        <v>3.6402721345554188</v>
      </c>
      <c r="Z6" s="123">
        <f t="shared" si="9"/>
        <v>3.4714196225824132</v>
      </c>
      <c r="AB6" s="119" t="s">
        <v>5</v>
      </c>
      <c r="AC6" s="41">
        <f t="shared" si="10"/>
        <v>0.35805098418844788</v>
      </c>
      <c r="AD6" s="41">
        <f t="shared" si="10"/>
        <v>0.37430924825357104</v>
      </c>
      <c r="AE6" s="41">
        <f t="shared" si="10"/>
        <v>0.34774319066147857</v>
      </c>
      <c r="AF6" s="41">
        <f t="shared" si="10"/>
        <v>0.34011295692068172</v>
      </c>
      <c r="AG6" s="122">
        <f t="shared" si="11"/>
        <v>0.35505409500604479</v>
      </c>
      <c r="AH6" s="123">
        <f t="shared" si="12"/>
        <v>0.37430924825357104</v>
      </c>
      <c r="AI6" s="123">
        <f t="shared" si="13"/>
        <v>0.34011295692068172</v>
      </c>
      <c r="AK6" s="119" t="s">
        <v>5</v>
      </c>
      <c r="AL6" s="41">
        <f t="shared" si="14"/>
        <v>1.083659552446852</v>
      </c>
      <c r="AM6" s="41">
        <f t="shared" si="4"/>
        <v>0.96382149046793764</v>
      </c>
      <c r="AN6" s="41">
        <f t="shared" si="4"/>
        <v>0.89771323835969896</v>
      </c>
      <c r="AO6" s="41">
        <f t="shared" si="4"/>
        <v>1.1390234130638006</v>
      </c>
      <c r="AP6" s="146">
        <f t="shared" si="15"/>
        <v>1.0210544235845722</v>
      </c>
      <c r="AQ6" s="123">
        <f t="shared" si="16"/>
        <v>1.1390234130638006</v>
      </c>
      <c r="AR6" s="123">
        <f t="shared" si="17"/>
        <v>0.89771323835969896</v>
      </c>
    </row>
    <row r="7" spans="1:44" x14ac:dyDescent="0.25">
      <c r="A7" s="119" t="s">
        <v>6</v>
      </c>
      <c r="B7" s="132">
        <f>'BASTIA 2014'!BC8+'BASTIA 2014'!BC25</f>
        <v>15897.119999999999</v>
      </c>
      <c r="C7" s="132">
        <f>'BASTIA 2015'!BC8+'BASTIA 2015'!BC25</f>
        <v>15843.599999999999</v>
      </c>
      <c r="D7" s="132">
        <f>'BASTIA 2016'!BC8+'BASTIA 2016'!BC25</f>
        <v>15825.839999999998</v>
      </c>
      <c r="E7" s="42">
        <f>'BASTIA 2017'!BC8+'BASTIA 2017'!BC25</f>
        <v>14958.48</v>
      </c>
      <c r="F7" s="127">
        <f t="shared" si="0"/>
        <v>15631.259999999998</v>
      </c>
      <c r="G7" s="127">
        <f t="shared" si="1"/>
        <v>449.54203362978149</v>
      </c>
      <c r="H7" s="127">
        <f t="shared" si="2"/>
        <v>449.54203362978149</v>
      </c>
      <c r="J7" s="119" t="s">
        <v>6</v>
      </c>
      <c r="K7" s="41"/>
      <c r="L7" s="41"/>
      <c r="M7" s="41"/>
      <c r="N7" s="41"/>
      <c r="O7" s="122"/>
      <c r="P7" s="123">
        <f t="shared" si="5"/>
        <v>0</v>
      </c>
      <c r="Q7" s="123">
        <f t="shared" si="6"/>
        <v>0</v>
      </c>
      <c r="S7" s="119" t="s">
        <v>6</v>
      </c>
      <c r="T7" s="41">
        <f t="shared" si="3"/>
        <v>5.609821149994465</v>
      </c>
      <c r="U7" s="41">
        <f t="shared" si="3"/>
        <v>5.2240652376985031</v>
      </c>
      <c r="V7" s="41">
        <f t="shared" si="3"/>
        <v>5.5044155634076937</v>
      </c>
      <c r="W7" s="41">
        <f t="shared" si="3"/>
        <v>6.2483621330509518</v>
      </c>
      <c r="X7" s="122">
        <f t="shared" si="7"/>
        <v>5.6466660210379036</v>
      </c>
      <c r="Y7" s="123">
        <f t="shared" si="8"/>
        <v>6.2483621330509518</v>
      </c>
      <c r="Z7" s="123">
        <f t="shared" si="9"/>
        <v>5.2240652376985031</v>
      </c>
      <c r="AB7" s="119" t="s">
        <v>6</v>
      </c>
      <c r="AC7" s="41">
        <f t="shared" si="10"/>
        <v>0.42870329883884761</v>
      </c>
      <c r="AD7" s="41">
        <f t="shared" si="10"/>
        <v>0.50469913816636114</v>
      </c>
      <c r="AE7" s="41">
        <f t="shared" si="10"/>
        <v>0.47381259865116948</v>
      </c>
      <c r="AF7" s="41">
        <f t="shared" si="10"/>
        <v>0.47337375061445192</v>
      </c>
      <c r="AG7" s="122">
        <f t="shared" si="11"/>
        <v>0.47014719656770754</v>
      </c>
      <c r="AH7" s="123">
        <f t="shared" si="12"/>
        <v>0.50469913816636114</v>
      </c>
      <c r="AI7" s="123">
        <f t="shared" si="13"/>
        <v>0.42870329883884761</v>
      </c>
      <c r="AK7" s="119" t="s">
        <v>6</v>
      </c>
      <c r="AL7" s="41">
        <f t="shared" si="14"/>
        <v>1.4780905987317847</v>
      </c>
      <c r="AM7" s="41">
        <f t="shared" si="4"/>
        <v>1.370189042885507</v>
      </c>
      <c r="AN7" s="41">
        <f t="shared" si="4"/>
        <v>1.3976246530095928</v>
      </c>
      <c r="AO7" s="41">
        <f t="shared" si="4"/>
        <v>1.3303329407631583</v>
      </c>
      <c r="AP7" s="146">
        <f t="shared" si="15"/>
        <v>1.3940593088475106</v>
      </c>
      <c r="AQ7" s="123">
        <f t="shared" si="16"/>
        <v>1.4780905987317847</v>
      </c>
      <c r="AR7" s="123">
        <f t="shared" si="17"/>
        <v>1.3303329407631583</v>
      </c>
    </row>
    <row r="8" spans="1:44" x14ac:dyDescent="0.25">
      <c r="A8" s="119" t="s">
        <v>7</v>
      </c>
      <c r="B8" s="132">
        <f>'BASTIA 2014'!BC9+'BASTIA 2014'!BC26</f>
        <v>14705.52</v>
      </c>
      <c r="C8" s="132">
        <f>'BASTIA 2015'!BC9+'BASTIA 2015'!BC26</f>
        <v>15337.92</v>
      </c>
      <c r="D8" s="132">
        <f>'BASTIA 2016'!BC9+'BASTIA 2016'!BC26</f>
        <v>15415.439999999999</v>
      </c>
      <c r="E8" s="42">
        <f>'BASTIA 2017'!BC9+'BASTIA 2017'!BC26</f>
        <v>15672.96</v>
      </c>
      <c r="F8" s="127">
        <f t="shared" si="0"/>
        <v>15282.960000000001</v>
      </c>
      <c r="G8" s="127">
        <f t="shared" si="1"/>
        <v>410.73450695065719</v>
      </c>
      <c r="H8" s="127">
        <f t="shared" si="2"/>
        <v>410.73450695065719</v>
      </c>
      <c r="J8" s="119" t="s">
        <v>7</v>
      </c>
      <c r="K8" s="41"/>
      <c r="L8" s="41"/>
      <c r="M8" s="41"/>
      <c r="N8" s="41"/>
      <c r="O8" s="122"/>
      <c r="P8" s="123">
        <f t="shared" si="5"/>
        <v>0</v>
      </c>
      <c r="Q8" s="123">
        <f t="shared" si="6"/>
        <v>0</v>
      </c>
      <c r="S8" s="119" t="s">
        <v>7</v>
      </c>
      <c r="T8" s="41">
        <f t="shared" si="3"/>
        <v>6.4460828314809673</v>
      </c>
      <c r="U8" s="41">
        <f t="shared" si="3"/>
        <v>6.1748268344077948</v>
      </c>
      <c r="V8" s="41">
        <f t="shared" si="3"/>
        <v>5.8115110564473023</v>
      </c>
      <c r="W8" s="41">
        <f t="shared" si="3"/>
        <v>6.0464647392706929</v>
      </c>
      <c r="X8" s="122">
        <f t="shared" si="7"/>
        <v>6.1197213654016895</v>
      </c>
      <c r="Y8" s="123">
        <f t="shared" si="8"/>
        <v>6.4460828314809673</v>
      </c>
      <c r="Z8" s="123">
        <f t="shared" si="9"/>
        <v>5.8115110564473023</v>
      </c>
      <c r="AB8" s="119" t="s">
        <v>7</v>
      </c>
      <c r="AC8" s="41">
        <f>B132/B149</f>
        <v>0.53293766358240868</v>
      </c>
      <c r="AD8" s="41">
        <f t="shared" si="10"/>
        <v>0.45735646129127455</v>
      </c>
      <c r="AE8" s="41">
        <f t="shared" si="10"/>
        <v>0.36575376264495435</v>
      </c>
      <c r="AF8" s="41">
        <f t="shared" si="10"/>
        <v>0.52439024390243905</v>
      </c>
      <c r="AG8" s="122">
        <f t="shared" si="11"/>
        <v>0.47010953285526913</v>
      </c>
      <c r="AH8" s="123">
        <f t="shared" si="12"/>
        <v>0.53293766358240868</v>
      </c>
      <c r="AI8" s="123">
        <f t="shared" si="13"/>
        <v>0.36575376264495435</v>
      </c>
      <c r="AK8" s="119" t="s">
        <v>7</v>
      </c>
      <c r="AL8" s="41">
        <f t="shared" si="14"/>
        <v>1.4083244975465861</v>
      </c>
      <c r="AM8" s="41">
        <f t="shared" si="4"/>
        <v>1.1330078035048936</v>
      </c>
      <c r="AN8" s="41">
        <f t="shared" si="4"/>
        <v>0.90554798408004822</v>
      </c>
      <c r="AO8" s="41">
        <f t="shared" si="4"/>
        <v>1.2395130292507155</v>
      </c>
      <c r="AP8" s="146">
        <f t="shared" si="15"/>
        <v>1.1715983285955607</v>
      </c>
      <c r="AQ8" s="123">
        <f t="shared" si="16"/>
        <v>1.4083244975465861</v>
      </c>
      <c r="AR8" s="123">
        <f t="shared" si="17"/>
        <v>0.90554798408004822</v>
      </c>
    </row>
    <row r="9" spans="1:44" x14ac:dyDescent="0.25">
      <c r="A9" s="119" t="s">
        <v>8</v>
      </c>
      <c r="B9" s="132">
        <f>'BASTIA 2014'!BC10+'BASTIA 2014'!BC27</f>
        <v>16309.68</v>
      </c>
      <c r="C9" s="132">
        <f>'BASTIA 2015'!BC10+'BASTIA 2015'!BC27</f>
        <v>16007.28</v>
      </c>
      <c r="D9" s="132">
        <f>'BASTIA 2016'!BC10+'BASTIA 2016'!BC27</f>
        <v>15558.719999999998</v>
      </c>
      <c r="E9" s="42">
        <f>'BASTIA 2017'!BC10+'BASTIA 2017'!BC27</f>
        <v>17665.199999999997</v>
      </c>
      <c r="F9" s="127">
        <f t="shared" si="0"/>
        <v>16385.219999999998</v>
      </c>
      <c r="G9" s="127">
        <f t="shared" si="1"/>
        <v>907.3764352241019</v>
      </c>
      <c r="H9" s="127">
        <f t="shared" si="2"/>
        <v>907.3764352241019</v>
      </c>
      <c r="I9" s="45"/>
      <c r="J9" s="119" t="s">
        <v>8</v>
      </c>
      <c r="K9" s="41"/>
      <c r="L9" s="41"/>
      <c r="M9" s="41"/>
      <c r="N9" s="41"/>
      <c r="O9" s="122"/>
      <c r="P9" s="123">
        <f t="shared" si="5"/>
        <v>0</v>
      </c>
      <c r="Q9" s="123">
        <f t="shared" si="6"/>
        <v>0</v>
      </c>
      <c r="S9" s="119" t="s">
        <v>8</v>
      </c>
      <c r="T9" s="41">
        <f t="shared" si="3"/>
        <v>5.7774278833183725</v>
      </c>
      <c r="U9" s="41">
        <f t="shared" si="3"/>
        <v>5.8780754756585747</v>
      </c>
      <c r="V9" s="41">
        <f t="shared" si="3"/>
        <v>5.6419165586886333</v>
      </c>
      <c r="W9" s="41">
        <f t="shared" si="3"/>
        <v>5.1029708126712414</v>
      </c>
      <c r="X9" s="122">
        <f t="shared" si="7"/>
        <v>5.600097682584205</v>
      </c>
      <c r="Y9" s="123">
        <f t="shared" si="8"/>
        <v>5.8780754756585747</v>
      </c>
      <c r="Z9" s="123">
        <f t="shared" si="9"/>
        <v>5.1029708126712414</v>
      </c>
      <c r="AB9" s="119" t="s">
        <v>8</v>
      </c>
      <c r="AC9" s="41">
        <f>B133/B150</f>
        <v>0.69692303607932671</v>
      </c>
      <c r="AD9" s="41">
        <f t="shared" si="10"/>
        <v>0.71674638251498457</v>
      </c>
      <c r="AE9" s="41">
        <f t="shared" si="10"/>
        <v>0.54261394581641065</v>
      </c>
      <c r="AF9" s="41">
        <f t="shared" si="10"/>
        <v>0.63368009246910284</v>
      </c>
      <c r="AG9" s="122">
        <f t="shared" si="11"/>
        <v>0.64749086421995616</v>
      </c>
      <c r="AH9" s="123">
        <f t="shared" si="12"/>
        <v>0.71674638251498457</v>
      </c>
      <c r="AI9" s="123">
        <f t="shared" si="13"/>
        <v>0.54261394581641065</v>
      </c>
      <c r="AK9" s="119" t="s">
        <v>8</v>
      </c>
      <c r="AL9" s="41">
        <f t="shared" si="14"/>
        <v>1.3599108751110118</v>
      </c>
      <c r="AM9" s="41">
        <f t="shared" si="4"/>
        <v>1.4285207934581816</v>
      </c>
      <c r="AN9" s="41">
        <f t="shared" si="4"/>
        <v>0.98708063615958941</v>
      </c>
      <c r="AO9" s="41">
        <f t="shared" si="4"/>
        <v>1.2793947684977709</v>
      </c>
      <c r="AP9" s="146">
        <f t="shared" si="15"/>
        <v>1.2637267683066384</v>
      </c>
      <c r="AQ9" s="123">
        <f t="shared" si="16"/>
        <v>1.4285207934581816</v>
      </c>
      <c r="AR9" s="123">
        <f t="shared" si="17"/>
        <v>0.98708063615958941</v>
      </c>
    </row>
    <row r="10" spans="1:44" x14ac:dyDescent="0.25">
      <c r="A10" s="119" t="s">
        <v>9</v>
      </c>
      <c r="B10" s="132">
        <f>'BASTIA 2014'!BC11+'BASTIA 2014'!BC28</f>
        <v>15672</v>
      </c>
      <c r="C10" s="132">
        <f>'BASTIA 2015'!BC11+'BASTIA 2015'!BC28</f>
        <v>16775.28</v>
      </c>
      <c r="D10" s="132">
        <f>'BASTIA 2016'!BC11+'BASTIA 2016'!BC28</f>
        <v>15506.160000000002</v>
      </c>
      <c r="E10" s="42">
        <f>'BASTIA 2017'!BC11+'BASTIA 2017'!BC28</f>
        <v>17430.719999999998</v>
      </c>
      <c r="F10" s="127">
        <f t="shared" si="0"/>
        <v>16346.04</v>
      </c>
      <c r="G10" s="127">
        <f t="shared" si="1"/>
        <v>916.60715249227519</v>
      </c>
      <c r="H10" s="127">
        <f t="shared" si="2"/>
        <v>916.60715249227519</v>
      </c>
      <c r="J10" s="119" t="s">
        <v>9</v>
      </c>
      <c r="K10" s="41"/>
      <c r="L10" s="41"/>
      <c r="M10" s="41"/>
      <c r="N10" s="41"/>
      <c r="O10" s="122"/>
      <c r="P10" s="123">
        <f t="shared" si="5"/>
        <v>0</v>
      </c>
      <c r="Q10" s="123">
        <f t="shared" si="6"/>
        <v>0</v>
      </c>
      <c r="S10" s="119" t="s">
        <v>9</v>
      </c>
      <c r="T10" s="41">
        <f t="shared" si="3"/>
        <v>4.822230729964267</v>
      </c>
      <c r="U10" s="41">
        <f t="shared" si="3"/>
        <v>4.6706224873742794</v>
      </c>
      <c r="V10" s="41">
        <f t="shared" si="3"/>
        <v>5.3930824910874122</v>
      </c>
      <c r="W10" s="41">
        <f t="shared" si="3"/>
        <v>4.8614170843200979</v>
      </c>
      <c r="X10" s="122">
        <f t="shared" si="7"/>
        <v>4.9368381981865141</v>
      </c>
      <c r="Y10" s="123">
        <f t="shared" si="8"/>
        <v>5.3930824910874122</v>
      </c>
      <c r="Z10" s="123">
        <f t="shared" si="9"/>
        <v>4.6706224873742794</v>
      </c>
      <c r="AB10" s="119" t="s">
        <v>9</v>
      </c>
      <c r="AC10" s="41">
        <f t="shared" si="10"/>
        <v>0.79279346767548131</v>
      </c>
      <c r="AD10" s="41">
        <f t="shared" si="10"/>
        <v>0.90178828497392749</v>
      </c>
      <c r="AE10" s="41">
        <f t="shared" si="10"/>
        <v>0.74625749937704855</v>
      </c>
      <c r="AF10" s="41">
        <f t="shared" si="10"/>
        <v>0.97465924828105643</v>
      </c>
      <c r="AG10" s="122">
        <f t="shared" si="11"/>
        <v>0.8538746250768785</v>
      </c>
      <c r="AH10" s="123">
        <f t="shared" si="12"/>
        <v>0.97465924828105643</v>
      </c>
      <c r="AI10" s="123">
        <f t="shared" si="13"/>
        <v>0.74625749937704855</v>
      </c>
      <c r="AK10" s="119" t="s">
        <v>9</v>
      </c>
      <c r="AL10" s="41">
        <f t="shared" si="14"/>
        <v>1.7988116012458306</v>
      </c>
      <c r="AM10" s="41">
        <f t="shared" si="4"/>
        <v>1.8707890963442817</v>
      </c>
      <c r="AN10" s="41">
        <f t="shared" si="4"/>
        <v>1.3275090984050846</v>
      </c>
      <c r="AO10" s="41">
        <f t="shared" si="4"/>
        <v>1.7386485282708428</v>
      </c>
      <c r="AP10" s="146">
        <f t="shared" si="15"/>
        <v>1.6839395810665099</v>
      </c>
      <c r="AQ10" s="123">
        <f t="shared" si="16"/>
        <v>1.8707890963442817</v>
      </c>
      <c r="AR10" s="123">
        <f t="shared" si="17"/>
        <v>1.3275090984050846</v>
      </c>
    </row>
    <row r="11" spans="1:44" x14ac:dyDescent="0.25">
      <c r="A11" s="119" t="s">
        <v>10</v>
      </c>
      <c r="B11" s="132">
        <f>'BASTIA 2014'!BC12+'BASTIA 2014'!BC29</f>
        <v>15204.96</v>
      </c>
      <c r="C11" s="132">
        <f>'BASTIA 2015'!BC12+'BASTIA 2015'!BC29</f>
        <v>14560.8</v>
      </c>
      <c r="D11" s="132">
        <f>'BASTIA 2016'!BC12+'BASTIA 2016'!BC29</f>
        <v>15136.559999999998</v>
      </c>
      <c r="E11" s="42">
        <f>'BASTIA 2017'!BC12+'BASTIA 2017'!BC29</f>
        <v>23721.120000000003</v>
      </c>
      <c r="F11" s="127">
        <f t="shared" si="0"/>
        <v>17155.86</v>
      </c>
      <c r="G11" s="127">
        <f t="shared" si="1"/>
        <v>4386.3636637196287</v>
      </c>
      <c r="H11" s="127">
        <f t="shared" si="2"/>
        <v>4386.3636637196287</v>
      </c>
      <c r="J11" s="119" t="s">
        <v>10</v>
      </c>
      <c r="K11" s="41"/>
      <c r="L11" s="41"/>
      <c r="M11" s="41"/>
      <c r="N11" s="41"/>
      <c r="O11" s="122"/>
      <c r="P11" s="123">
        <f t="shared" si="5"/>
        <v>0</v>
      </c>
      <c r="Q11" s="123">
        <f t="shared" si="6"/>
        <v>0</v>
      </c>
      <c r="S11" s="119" t="s">
        <v>10</v>
      </c>
      <c r="T11" s="41">
        <f t="shared" si="3"/>
        <v>5.3279982321558235</v>
      </c>
      <c r="U11" s="41">
        <f t="shared" si="3"/>
        <v>5.7163754738750621</v>
      </c>
      <c r="V11" s="41">
        <f t="shared" si="3"/>
        <v>5.3782365345891012</v>
      </c>
      <c r="W11" s="41">
        <f t="shared" si="3"/>
        <v>3.4172501129794881</v>
      </c>
      <c r="X11" s="122">
        <f t="shared" si="7"/>
        <v>4.9599650883998692</v>
      </c>
      <c r="Y11" s="123">
        <f t="shared" si="8"/>
        <v>5.7163754738750621</v>
      </c>
      <c r="Z11" s="123">
        <f t="shared" si="9"/>
        <v>3.4172501129794881</v>
      </c>
      <c r="AB11" s="119" t="s">
        <v>10</v>
      </c>
      <c r="AC11" s="41">
        <f t="shared" si="10"/>
        <v>0.58152589946414901</v>
      </c>
      <c r="AD11" s="41">
        <f t="shared" si="10"/>
        <v>0.62982396750169267</v>
      </c>
      <c r="AE11" s="41">
        <f t="shared" si="10"/>
        <v>0.6441814182465696</v>
      </c>
      <c r="AF11" s="41">
        <f t="shared" si="10"/>
        <v>0.65831522881771676</v>
      </c>
      <c r="AG11" s="122">
        <f t="shared" si="11"/>
        <v>0.62846162850753196</v>
      </c>
      <c r="AH11" s="123">
        <f t="shared" si="12"/>
        <v>0.65831522881771676</v>
      </c>
      <c r="AI11" s="123">
        <f t="shared" si="13"/>
        <v>0.58152589946414901</v>
      </c>
      <c r="AK11" s="119" t="s">
        <v>10</v>
      </c>
      <c r="AL11" s="41">
        <f t="shared" si="14"/>
        <v>1.4883703184978334</v>
      </c>
      <c r="AM11" s="41">
        <f t="shared" si="4"/>
        <v>1.428027307406029</v>
      </c>
      <c r="AN11" s="41">
        <f t="shared" si="4"/>
        <v>1.4604061209053354</v>
      </c>
      <c r="AO11" s="41">
        <f t="shared" si="4"/>
        <v>1.4681010090810711</v>
      </c>
      <c r="AP11" s="146">
        <f t="shared" si="15"/>
        <v>1.4612261889725673</v>
      </c>
      <c r="AQ11" s="123">
        <f t="shared" si="16"/>
        <v>1.4883703184978334</v>
      </c>
      <c r="AR11" s="123">
        <f t="shared" si="17"/>
        <v>1.428027307406029</v>
      </c>
    </row>
    <row r="12" spans="1:44" x14ac:dyDescent="0.25">
      <c r="A12" s="119" t="s">
        <v>11</v>
      </c>
      <c r="B12" s="132">
        <f>'BASTIA 2014'!BC13+'BASTIA 2014'!BC30</f>
        <v>24497.200000000001</v>
      </c>
      <c r="C12" s="132">
        <f>'BASTIA 2015'!BC13+'BASTIA 2015'!BC30</f>
        <v>27798</v>
      </c>
      <c r="D12" s="132">
        <f>'BASTIA 2016'!BC13+'BASTIA 2016'!BC30</f>
        <v>23096</v>
      </c>
      <c r="E12" s="42">
        <f>'BASTIA 2017'!BC13+'BASTIA 2017'!BC30</f>
        <v>36506.800000000003</v>
      </c>
      <c r="F12" s="127">
        <f t="shared" si="0"/>
        <v>27974.5</v>
      </c>
      <c r="G12" s="127">
        <f t="shared" si="1"/>
        <v>6020.040782807605</v>
      </c>
      <c r="H12" s="127">
        <f t="shared" si="2"/>
        <v>6020.040782807605</v>
      </c>
      <c r="J12" s="119" t="s">
        <v>11</v>
      </c>
      <c r="K12" s="41"/>
      <c r="L12" s="41"/>
      <c r="M12" s="41"/>
      <c r="N12" s="41"/>
      <c r="O12" s="122"/>
      <c r="P12" s="123">
        <f t="shared" si="5"/>
        <v>0</v>
      </c>
      <c r="Q12" s="123">
        <f t="shared" si="6"/>
        <v>0</v>
      </c>
      <c r="S12" s="119" t="s">
        <v>11</v>
      </c>
      <c r="T12" s="41">
        <f t="shared" si="3"/>
        <v>3.5061558055614519</v>
      </c>
      <c r="U12" s="41">
        <f t="shared" si="3"/>
        <v>2.8979063241959855</v>
      </c>
      <c r="V12" s="41">
        <f t="shared" si="3"/>
        <v>3.4192067890543818</v>
      </c>
      <c r="W12" s="41">
        <f t="shared" si="3"/>
        <v>2.4104002541992173</v>
      </c>
      <c r="X12" s="122">
        <f t="shared" si="7"/>
        <v>3.0584172932527594</v>
      </c>
      <c r="Y12" s="123">
        <f t="shared" si="8"/>
        <v>3.5061558055614519</v>
      </c>
      <c r="Z12" s="123">
        <f t="shared" si="9"/>
        <v>2.4104002541992173</v>
      </c>
      <c r="AB12" s="119" t="s">
        <v>11</v>
      </c>
      <c r="AC12" s="41">
        <f t="shared" si="10"/>
        <v>0.49139008471045686</v>
      </c>
      <c r="AD12" s="41">
        <f t="shared" si="10"/>
        <v>0.44877099050863956</v>
      </c>
      <c r="AE12" s="41">
        <f t="shared" si="10"/>
        <v>0.52489915658232489</v>
      </c>
      <c r="AF12" s="41">
        <f t="shared" si="10"/>
        <v>0.47104985047107234</v>
      </c>
      <c r="AG12" s="122">
        <f t="shared" si="11"/>
        <v>0.48402752056812343</v>
      </c>
      <c r="AH12" s="123">
        <f t="shared" si="12"/>
        <v>0.52489915658232489</v>
      </c>
      <c r="AI12" s="123">
        <f t="shared" si="13"/>
        <v>0.44877099050863956</v>
      </c>
      <c r="AK12" s="119" t="s">
        <v>11</v>
      </c>
      <c r="AL12" s="41">
        <f t="shared" si="14"/>
        <v>1.385695210861525</v>
      </c>
      <c r="AM12" s="41">
        <f t="shared" si="4"/>
        <v>1.3391175783985683</v>
      </c>
      <c r="AN12" s="41">
        <f t="shared" si="4"/>
        <v>1.4725551163263073</v>
      </c>
      <c r="AO12" s="41">
        <f t="shared" si="4"/>
        <v>1.1489531957352328</v>
      </c>
      <c r="AP12" s="146">
        <f t="shared" si="15"/>
        <v>1.3365802753304084</v>
      </c>
      <c r="AQ12" s="123">
        <f t="shared" si="16"/>
        <v>1.4725551163263073</v>
      </c>
      <c r="AR12" s="123">
        <f t="shared" si="17"/>
        <v>1.1489531957352328</v>
      </c>
    </row>
    <row r="13" spans="1:44" x14ac:dyDescent="0.25">
      <c r="A13" s="119" t="s">
        <v>12</v>
      </c>
      <c r="B13" s="132">
        <f>'BASTIA 2014'!BC14+'BASTIA 2014'!BC31</f>
        <v>28542.800000000003</v>
      </c>
      <c r="C13" s="132">
        <f>'BASTIA 2015'!BC14+'BASTIA 2015'!BC31</f>
        <v>29007.200000000001</v>
      </c>
      <c r="D13" s="132">
        <f>'BASTIA 2016'!BC14+'BASTIA 2016'!BC31</f>
        <v>26162</v>
      </c>
      <c r="E13" s="42"/>
      <c r="F13" s="127">
        <f t="shared" si="0"/>
        <v>27904</v>
      </c>
      <c r="G13" s="127">
        <f t="shared" si="1"/>
        <v>1526.3812891934972</v>
      </c>
      <c r="H13" s="127">
        <f t="shared" si="2"/>
        <v>1526.3812891934972</v>
      </c>
      <c r="J13" s="119" t="s">
        <v>12</v>
      </c>
      <c r="K13" s="41"/>
      <c r="L13" s="41"/>
      <c r="M13" s="41"/>
      <c r="N13" s="41"/>
      <c r="O13" s="122"/>
      <c r="P13" s="123">
        <f t="shared" si="5"/>
        <v>0</v>
      </c>
      <c r="Q13" s="123">
        <f t="shared" si="6"/>
        <v>0</v>
      </c>
      <c r="S13" s="119" t="s">
        <v>12</v>
      </c>
      <c r="T13" s="41">
        <f t="shared" si="3"/>
        <v>2.8137393668455788</v>
      </c>
      <c r="U13" s="41">
        <f t="shared" si="3"/>
        <v>2.8123362475523317</v>
      </c>
      <c r="V13" s="41">
        <f t="shared" si="3"/>
        <v>3.2420304258084243</v>
      </c>
      <c r="W13" s="41"/>
      <c r="X13" s="122">
        <f t="shared" si="7"/>
        <v>2.9560353467354452</v>
      </c>
      <c r="Y13" s="123">
        <f t="shared" si="8"/>
        <v>3.2420304258084243</v>
      </c>
      <c r="Z13" s="123">
        <f t="shared" si="9"/>
        <v>2.8123362475523317</v>
      </c>
      <c r="AB13" s="119" t="s">
        <v>12</v>
      </c>
      <c r="AC13" s="41">
        <f t="shared" si="10"/>
        <v>0.29617130222273946</v>
      </c>
      <c r="AD13" s="41">
        <f t="shared" si="10"/>
        <v>0.24837795851229097</v>
      </c>
      <c r="AE13" s="41">
        <f t="shared" si="10"/>
        <v>0.18296710275625555</v>
      </c>
      <c r="AF13" s="41" t="e">
        <f t="shared" si="10"/>
        <v>#DIV/0!</v>
      </c>
      <c r="AG13" s="122" t="e">
        <f t="shared" si="11"/>
        <v>#DIV/0!</v>
      </c>
      <c r="AH13" s="123" t="e">
        <f t="shared" si="12"/>
        <v>#DIV/0!</v>
      </c>
      <c r="AI13" s="123" t="e">
        <f t="shared" si="13"/>
        <v>#DIV/0!</v>
      </c>
      <c r="AK13" s="119" t="s">
        <v>12</v>
      </c>
      <c r="AL13" s="41">
        <f t="shared" si="14"/>
        <v>0.88754422717951165</v>
      </c>
      <c r="AM13" s="41">
        <f t="shared" si="4"/>
        <v>0.75072530330130249</v>
      </c>
      <c r="AN13" s="41">
        <f t="shared" si="4"/>
        <v>0.63817438692098094</v>
      </c>
      <c r="AO13" s="41"/>
      <c r="AP13" s="146">
        <f t="shared" si="15"/>
        <v>0.75881463913393166</v>
      </c>
      <c r="AQ13" s="123">
        <f t="shared" si="16"/>
        <v>0.88754422717951165</v>
      </c>
      <c r="AR13" s="123">
        <f t="shared" si="17"/>
        <v>0.63817438692098094</v>
      </c>
    </row>
    <row r="14" spans="1:44" ht="15.75" thickBot="1" x14ac:dyDescent="0.3">
      <c r="A14" s="119" t="s">
        <v>13</v>
      </c>
      <c r="B14" s="132">
        <f>'BASTIA 2014'!BC15+'BASTIA 2014'!BC32</f>
        <v>26172.400000000001</v>
      </c>
      <c r="C14" s="132">
        <f>'BASTIA 2015'!BC15+'BASTIA 2015'!BC32</f>
        <v>25776.799999999996</v>
      </c>
      <c r="D14" s="132">
        <f>'BASTIA 2016'!BC15+'BASTIA 2016'!BC32</f>
        <v>24662</v>
      </c>
      <c r="E14" s="42"/>
      <c r="F14" s="127">
        <f t="shared" si="0"/>
        <v>25537.066666666666</v>
      </c>
      <c r="G14" s="127">
        <f t="shared" si="1"/>
        <v>783.21841994001477</v>
      </c>
      <c r="H14" s="127">
        <f t="shared" si="2"/>
        <v>783.21841994001477</v>
      </c>
      <c r="J14" s="139" t="s">
        <v>13</v>
      </c>
      <c r="K14" s="66"/>
      <c r="L14" s="66"/>
      <c r="M14" s="66"/>
      <c r="N14" s="66"/>
      <c r="O14" s="122"/>
      <c r="P14" s="123">
        <f t="shared" si="5"/>
        <v>0</v>
      </c>
      <c r="Q14" s="123">
        <f t="shared" si="6"/>
        <v>0</v>
      </c>
      <c r="S14" s="139" t="s">
        <v>13</v>
      </c>
      <c r="T14" s="66">
        <f t="shared" si="3"/>
        <v>2.9918540141523131</v>
      </c>
      <c r="U14" s="66">
        <f t="shared" si="3"/>
        <v>2.9946696253995846</v>
      </c>
      <c r="V14" s="66">
        <f t="shared" si="3"/>
        <v>3.1516908604330549</v>
      </c>
      <c r="W14" s="66"/>
      <c r="X14" s="122">
        <f t="shared" si="7"/>
        <v>3.0460714999949841</v>
      </c>
      <c r="Y14" s="123">
        <f t="shared" si="8"/>
        <v>3.1516908604330549</v>
      </c>
      <c r="Z14" s="123">
        <f t="shared" si="9"/>
        <v>2.9918540141523131</v>
      </c>
      <c r="AB14" s="139" t="s">
        <v>13</v>
      </c>
      <c r="AC14" s="66">
        <f t="shared" si="10"/>
        <v>0.20906539141282879</v>
      </c>
      <c r="AD14" s="66">
        <f t="shared" si="10"/>
        <v>0.30881064985111228</v>
      </c>
      <c r="AE14" s="66">
        <f t="shared" si="10"/>
        <v>0.21321835686019727</v>
      </c>
      <c r="AF14" s="66" t="e">
        <f t="shared" si="10"/>
        <v>#DIV/0!</v>
      </c>
      <c r="AG14" s="122" t="e">
        <f t="shared" si="11"/>
        <v>#DIV/0!</v>
      </c>
      <c r="AH14" s="123" t="e">
        <f t="shared" si="12"/>
        <v>#DIV/0!</v>
      </c>
      <c r="AI14" s="123" t="e">
        <f t="shared" si="13"/>
        <v>#DIV/0!</v>
      </c>
      <c r="AK14" s="139" t="s">
        <v>13</v>
      </c>
      <c r="AL14" s="66">
        <f t="shared" si="14"/>
        <v>1.0928340123642999</v>
      </c>
      <c r="AM14" s="66">
        <f t="shared" si="4"/>
        <v>0.9903416246326886</v>
      </c>
      <c r="AN14" s="66">
        <f t="shared" si="4"/>
        <v>0.75108342720826982</v>
      </c>
      <c r="AO14" s="66"/>
      <c r="AP14" s="146">
        <f t="shared" si="15"/>
        <v>0.94475302140175277</v>
      </c>
      <c r="AQ14" s="123">
        <f t="shared" si="16"/>
        <v>1.0928340123642999</v>
      </c>
      <c r="AR14" s="123">
        <f t="shared" si="17"/>
        <v>0.75108342720826982</v>
      </c>
    </row>
    <row r="15" spans="1:44" ht="16.5" thickTop="1" thickBot="1" x14ac:dyDescent="0.3">
      <c r="A15" s="128" t="s">
        <v>0</v>
      </c>
      <c r="B15" s="129">
        <f t="shared" ref="B15:D15" si="18">SUM(B3:B14)</f>
        <v>261654.87999999998</v>
      </c>
      <c r="C15" s="129">
        <f t="shared" si="18"/>
        <v>258301.28</v>
      </c>
      <c r="D15" s="129">
        <f t="shared" si="18"/>
        <v>249063.52</v>
      </c>
      <c r="E15" s="129">
        <f>SUM(E3:E14)</f>
        <v>218929.28000000003</v>
      </c>
      <c r="J15" s="138" t="s">
        <v>1</v>
      </c>
      <c r="K15" s="61"/>
      <c r="L15" s="61"/>
      <c r="M15" s="61"/>
      <c r="N15" s="61"/>
      <c r="S15" s="138" t="s">
        <v>1</v>
      </c>
      <c r="T15" s="61">
        <f>AVERAGE(T3:T14)</f>
        <v>4.1689156976526816</v>
      </c>
      <c r="U15" s="61">
        <f t="shared" ref="U15:V15" si="19">AVERAGE(U3:U14)</f>
        <v>4.2035581813489289</v>
      </c>
      <c r="V15" s="61">
        <f t="shared" si="19"/>
        <v>4.2845171809230154</v>
      </c>
      <c r="W15" s="61">
        <f>AVERAGE(W3:W14)</f>
        <v>4.3278764657344224</v>
      </c>
      <c r="AB15" s="138" t="s">
        <v>1</v>
      </c>
      <c r="AC15" s="61">
        <f>AVERAGE(AC3:AC14)</f>
        <v>0.41589675116712477</v>
      </c>
      <c r="AD15" s="61">
        <f t="shared" ref="AD15:AE15" si="20">AVERAGE(AD3:AD14)</f>
        <v>0.43446795411915778</v>
      </c>
      <c r="AE15" s="61">
        <f t="shared" si="20"/>
        <v>0.3980712109702636</v>
      </c>
      <c r="AF15" s="61" t="e">
        <f>AVERAGE(AF3:AF14)</f>
        <v>#DIV/0!</v>
      </c>
      <c r="AK15" s="138" t="s">
        <v>1</v>
      </c>
      <c r="AL15" s="145">
        <f>AVERAGE(AL3:AL14)</f>
        <v>1.2113714143771288</v>
      </c>
      <c r="AM15" s="145">
        <f t="shared" ref="AM15:AN15" si="21">AVERAGE(AM3:AM14)</f>
        <v>1.1558149684744432</v>
      </c>
      <c r="AN15" s="145">
        <f t="shared" si="21"/>
        <v>1.0228824040879532</v>
      </c>
      <c r="AO15" s="145">
        <f>AVERAGE(AO3:AO14)</f>
        <v>1.186550373650437</v>
      </c>
      <c r="AP15" s="148"/>
    </row>
    <row r="16" spans="1:44" ht="15.75" thickTop="1" x14ac:dyDescent="0.25">
      <c r="A16" s="1" t="s">
        <v>72</v>
      </c>
      <c r="B16" s="1"/>
      <c r="F16" s="127"/>
      <c r="AL16" s="148"/>
      <c r="AM16" s="148"/>
      <c r="AN16" s="148"/>
      <c r="AO16" s="148"/>
      <c r="AP16" s="148"/>
    </row>
    <row r="17" spans="1:35" x14ac:dyDescent="0.25">
      <c r="A17" s="130" t="s">
        <v>15</v>
      </c>
      <c r="B17" s="127">
        <f t="shared" ref="B17:G17" si="22">AVERAGE(B3:B5,B12:B14)</f>
        <v>26411.066666666666</v>
      </c>
      <c r="C17" s="127">
        <f t="shared" si="22"/>
        <v>25705.733333333334</v>
      </c>
      <c r="D17" s="127">
        <f t="shared" si="22"/>
        <v>24503.733333333334</v>
      </c>
      <c r="E17" s="127">
        <f t="shared" si="22"/>
        <v>26123.8</v>
      </c>
      <c r="F17" s="127">
        <f t="shared" si="22"/>
        <v>25735.811111111107</v>
      </c>
      <c r="G17" s="127">
        <f t="shared" si="22"/>
        <v>2424.0951444838838</v>
      </c>
      <c r="H17" s="131"/>
    </row>
    <row r="18" spans="1:35" x14ac:dyDescent="0.25">
      <c r="A18" s="130" t="s">
        <v>16</v>
      </c>
      <c r="B18" s="127">
        <f t="shared" ref="B18:G18" si="23">AVERAGE(B6:B11)</f>
        <v>17198.079999999998</v>
      </c>
      <c r="C18" s="127">
        <f t="shared" si="23"/>
        <v>17344.48</v>
      </c>
      <c r="D18" s="127">
        <f t="shared" si="23"/>
        <v>17006.853333333333</v>
      </c>
      <c r="E18" s="127">
        <f t="shared" si="23"/>
        <v>19072.346666666665</v>
      </c>
      <c r="F18" s="127">
        <f t="shared" si="23"/>
        <v>17655.439999999999</v>
      </c>
      <c r="G18" s="127">
        <f t="shared" si="23"/>
        <v>1249.5173135717589</v>
      </c>
    </row>
    <row r="19" spans="1:35" ht="15.75" thickBot="1" x14ac:dyDescent="0.3"/>
    <row r="20" spans="1:35" ht="17.25" thickTop="1" thickBot="1" x14ac:dyDescent="0.3">
      <c r="A20" s="140" t="s">
        <v>89</v>
      </c>
      <c r="B20" s="141"/>
      <c r="C20" s="141"/>
      <c r="D20" s="141"/>
      <c r="E20" s="141"/>
      <c r="F20" s="142"/>
      <c r="J20" s="140" t="s">
        <v>181</v>
      </c>
      <c r="K20" s="141"/>
      <c r="L20" s="141"/>
      <c r="M20" s="141"/>
      <c r="N20" s="141"/>
      <c r="O20" s="142"/>
      <c r="S20" s="140" t="s">
        <v>169</v>
      </c>
      <c r="T20" s="141"/>
      <c r="U20" s="141"/>
      <c r="V20" s="141"/>
      <c r="W20" s="141"/>
      <c r="X20" s="142"/>
      <c r="AB20" s="149" t="s">
        <v>170</v>
      </c>
      <c r="AC20" s="164"/>
      <c r="AD20" s="164"/>
      <c r="AE20" s="164"/>
      <c r="AF20" s="164"/>
      <c r="AG20" s="150"/>
      <c r="AH20" s="148"/>
      <c r="AI20" s="148"/>
    </row>
    <row r="21" spans="1:35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117" t="s">
        <v>18</v>
      </c>
      <c r="Q21" s="117" t="s">
        <v>17</v>
      </c>
      <c r="S21" s="124"/>
      <c r="T21" s="125">
        <v>2014</v>
      </c>
      <c r="U21" s="125">
        <v>2015</v>
      </c>
      <c r="V21" s="125">
        <v>2016</v>
      </c>
      <c r="W21" s="125">
        <v>2017</v>
      </c>
      <c r="X21" s="126" t="s">
        <v>1</v>
      </c>
      <c r="Y21" s="117" t="s">
        <v>18</v>
      </c>
      <c r="Z21" s="117" t="s">
        <v>17</v>
      </c>
      <c r="AB21" s="151"/>
      <c r="AC21" s="147">
        <v>2014</v>
      </c>
      <c r="AD21" s="147">
        <v>2015</v>
      </c>
      <c r="AE21" s="147">
        <v>2016</v>
      </c>
      <c r="AF21" s="147">
        <v>2017</v>
      </c>
      <c r="AG21" s="152" t="s">
        <v>1</v>
      </c>
      <c r="AH21" s="165" t="s">
        <v>18</v>
      </c>
      <c r="AI21" s="165" t="s">
        <v>17</v>
      </c>
    </row>
    <row r="22" spans="1:35" x14ac:dyDescent="0.25">
      <c r="A22" s="119" t="s">
        <v>2</v>
      </c>
      <c r="B22" s="84">
        <v>39232</v>
      </c>
      <c r="C22" s="84">
        <v>24788</v>
      </c>
      <c r="D22" s="84">
        <v>27245</v>
      </c>
      <c r="E22" s="84">
        <v>17870</v>
      </c>
      <c r="F22" s="127">
        <f t="shared" ref="F22:F33" si="24">AVERAGE(B22:E22)</f>
        <v>27283.75</v>
      </c>
      <c r="G22" s="127">
        <f t="shared" ref="G22:G33" si="25">STDEVA(B22:E22)</f>
        <v>8899.6186575605589</v>
      </c>
      <c r="H22" s="127">
        <f t="shared" ref="H22:H33" si="26">STDEVA(B22:E22)</f>
        <v>8899.6186575605589</v>
      </c>
      <c r="I22" s="122"/>
      <c r="J22" s="119" t="s">
        <v>2</v>
      </c>
      <c r="K22" s="134">
        <f>B22+B74</f>
        <v>69484</v>
      </c>
      <c r="L22" s="134">
        <f t="shared" ref="L22:N33" si="27">C22+C74</f>
        <v>52484</v>
      </c>
      <c r="M22" s="134">
        <f t="shared" si="27"/>
        <v>53516</v>
      </c>
      <c r="N22" s="134">
        <f t="shared" si="27"/>
        <v>40304</v>
      </c>
      <c r="O22" s="127">
        <f t="shared" ref="O22:O33" si="28">AVERAGE(K22:N22)</f>
        <v>53947</v>
      </c>
      <c r="P22" s="127">
        <f t="shared" ref="P22:P33" si="29">STDEVA(K22:N22)</f>
        <v>11970.184459731605</v>
      </c>
      <c r="Q22" s="127">
        <f t="shared" ref="Q22:Q33" si="30">STDEVA(K22:N22)</f>
        <v>11970.184459731605</v>
      </c>
      <c r="S22" s="119" t="s">
        <v>2</v>
      </c>
      <c r="T22" s="134">
        <f>K22+B91+B41+B127</f>
        <v>122897</v>
      </c>
      <c r="U22" s="134">
        <f t="shared" ref="U22:W33" si="31">L22+C91+C41+C127</f>
        <v>125681</v>
      </c>
      <c r="V22" s="134">
        <f t="shared" si="31"/>
        <v>123205</v>
      </c>
      <c r="W22" s="134">
        <f t="shared" si="31"/>
        <v>122086</v>
      </c>
      <c r="X22" s="127">
        <f t="shared" ref="X22:X33" si="32">AVERAGE(T22:W22)</f>
        <v>123467.25</v>
      </c>
      <c r="Y22" s="127">
        <f t="shared" ref="Y22:Y33" si="33">STDEVA(T22:W22)</f>
        <v>1549.4623529900084</v>
      </c>
      <c r="Z22" s="127">
        <f t="shared" ref="Z22:Z33" si="34">STDEVA(T22:W22)</f>
        <v>1549.4623529900084</v>
      </c>
      <c r="AB22" s="153" t="s">
        <v>2</v>
      </c>
      <c r="AC22" s="77">
        <f>(B3+B108+B144)-T22</f>
        <v>-40941.279999999999</v>
      </c>
      <c r="AD22" s="77">
        <f t="shared" ref="AD22:AF33" si="35">(C3+C108+C144)-U22</f>
        <v>-47573.399999999994</v>
      </c>
      <c r="AE22" s="77">
        <f t="shared" si="35"/>
        <v>-32310.760000000009</v>
      </c>
      <c r="AF22" s="77">
        <f t="shared" si="35"/>
        <v>-44097.399999999994</v>
      </c>
      <c r="AG22" s="166">
        <f t="shared" ref="AG22:AG33" si="36">AVERAGE(AC22:AF22)</f>
        <v>-41230.71</v>
      </c>
      <c r="AH22" s="167">
        <f t="shared" ref="AH22:AH33" si="37">MAX(AC22:AF22)</f>
        <v>-32310.760000000009</v>
      </c>
      <c r="AI22" s="167">
        <f t="shared" ref="AI22:AI33" si="38">MIN(AC22:AF22)</f>
        <v>-47573.399999999994</v>
      </c>
    </row>
    <row r="23" spans="1:35" x14ac:dyDescent="0.25">
      <c r="A23" s="119" t="s">
        <v>3</v>
      </c>
      <c r="B23" s="84">
        <v>29716</v>
      </c>
      <c r="C23" s="84">
        <v>25685</v>
      </c>
      <c r="D23" s="84">
        <v>23031</v>
      </c>
      <c r="E23" s="84">
        <v>20116</v>
      </c>
      <c r="F23" s="127">
        <f t="shared" si="24"/>
        <v>24637</v>
      </c>
      <c r="G23" s="127">
        <f t="shared" si="25"/>
        <v>4078.9386691474861</v>
      </c>
      <c r="H23" s="127">
        <f t="shared" si="26"/>
        <v>4078.9386691474861</v>
      </c>
      <c r="I23" s="122"/>
      <c r="J23" s="119" t="s">
        <v>3</v>
      </c>
      <c r="K23" s="134">
        <f t="shared" ref="K23:K33" si="39">B23+B75</f>
        <v>53128</v>
      </c>
      <c r="L23" s="134">
        <f t="shared" si="27"/>
        <v>50489</v>
      </c>
      <c r="M23" s="134">
        <f t="shared" si="27"/>
        <v>50244</v>
      </c>
      <c r="N23" s="134">
        <f t="shared" si="27"/>
        <v>42958</v>
      </c>
      <c r="O23" s="127">
        <f t="shared" si="28"/>
        <v>49204.75</v>
      </c>
      <c r="P23" s="127">
        <f t="shared" si="29"/>
        <v>4364.3676422440249</v>
      </c>
      <c r="Q23" s="127">
        <f t="shared" si="30"/>
        <v>4364.3676422440249</v>
      </c>
      <c r="S23" s="119" t="s">
        <v>3</v>
      </c>
      <c r="T23" s="134">
        <f t="shared" ref="T23:T32" si="40">K23+B92+B42+B128</f>
        <v>116913</v>
      </c>
      <c r="U23" s="134">
        <f t="shared" si="31"/>
        <v>118812</v>
      </c>
      <c r="V23" s="134">
        <f t="shared" si="31"/>
        <v>128943</v>
      </c>
      <c r="W23" s="134">
        <f t="shared" si="31"/>
        <v>121559</v>
      </c>
      <c r="X23" s="127">
        <f t="shared" si="32"/>
        <v>121556.75</v>
      </c>
      <c r="Y23" s="127">
        <f t="shared" si="33"/>
        <v>5280.6174118184326</v>
      </c>
      <c r="Z23" s="127">
        <f t="shared" si="34"/>
        <v>5280.6174118184326</v>
      </c>
      <c r="AB23" s="153" t="s">
        <v>3</v>
      </c>
      <c r="AC23" s="77">
        <f t="shared" ref="AC23:AC33" si="41">(B4+B109+B145)-T23</f>
        <v>-39554.320000000007</v>
      </c>
      <c r="AD23" s="77">
        <f t="shared" si="35"/>
        <v>-45827.56</v>
      </c>
      <c r="AE23" s="77">
        <f t="shared" si="35"/>
        <v>-50198.080000000002</v>
      </c>
      <c r="AF23" s="77">
        <f t="shared" si="35"/>
        <v>-51820.160000000003</v>
      </c>
      <c r="AG23" s="166">
        <f t="shared" si="36"/>
        <v>-46850.030000000006</v>
      </c>
      <c r="AH23" s="167">
        <f t="shared" si="37"/>
        <v>-39554.320000000007</v>
      </c>
      <c r="AI23" s="167">
        <f t="shared" si="38"/>
        <v>-51820.160000000003</v>
      </c>
    </row>
    <row r="24" spans="1:35" x14ac:dyDescent="0.25">
      <c r="A24" s="119" t="s">
        <v>4</v>
      </c>
      <c r="B24" s="84">
        <v>37400</v>
      </c>
      <c r="C24" s="84">
        <v>30669</v>
      </c>
      <c r="D24" s="84">
        <v>27494</v>
      </c>
      <c r="E24" s="84">
        <v>22932</v>
      </c>
      <c r="F24" s="127">
        <f t="shared" si="24"/>
        <v>29623.75</v>
      </c>
      <c r="G24" s="127">
        <f t="shared" si="25"/>
        <v>6079.4178654977595</v>
      </c>
      <c r="H24" s="127">
        <f t="shared" si="26"/>
        <v>6079.4178654977595</v>
      </c>
      <c r="I24" s="122"/>
      <c r="J24" s="119" t="s">
        <v>4</v>
      </c>
      <c r="K24" s="134">
        <f t="shared" si="39"/>
        <v>67592</v>
      </c>
      <c r="L24" s="134">
        <f t="shared" si="27"/>
        <v>59799</v>
      </c>
      <c r="M24" s="134">
        <f t="shared" si="27"/>
        <v>57617</v>
      </c>
      <c r="N24" s="134">
        <f t="shared" si="27"/>
        <v>48999</v>
      </c>
      <c r="O24" s="127">
        <f t="shared" si="28"/>
        <v>58501.75</v>
      </c>
      <c r="P24" s="127">
        <f t="shared" si="29"/>
        <v>7646.3617219781945</v>
      </c>
      <c r="Q24" s="127">
        <f t="shared" si="30"/>
        <v>7646.3617219781945</v>
      </c>
      <c r="S24" s="119" t="s">
        <v>4</v>
      </c>
      <c r="T24" s="134">
        <f t="shared" si="40"/>
        <v>140355</v>
      </c>
      <c r="U24" s="134">
        <f t="shared" si="31"/>
        <v>143712</v>
      </c>
      <c r="V24" s="134">
        <f t="shared" si="31"/>
        <v>145367</v>
      </c>
      <c r="W24" s="134">
        <f t="shared" si="31"/>
        <v>150487</v>
      </c>
      <c r="X24" s="127">
        <f t="shared" si="32"/>
        <v>144980.25</v>
      </c>
      <c r="Y24" s="127">
        <f t="shared" si="33"/>
        <v>4221.9768967471464</v>
      </c>
      <c r="Z24" s="127">
        <f t="shared" si="34"/>
        <v>4221.9768967471464</v>
      </c>
      <c r="AB24" s="153" t="s">
        <v>4</v>
      </c>
      <c r="AC24" s="77">
        <f t="shared" si="41"/>
        <v>-54533.84</v>
      </c>
      <c r="AD24" s="77">
        <f t="shared" si="35"/>
        <v>-62233.279999999999</v>
      </c>
      <c r="AE24" s="77">
        <f t="shared" si="35"/>
        <v>-56511.880000000005</v>
      </c>
      <c r="AF24" s="77">
        <f t="shared" si="35"/>
        <v>-63887.520000000004</v>
      </c>
      <c r="AG24" s="166">
        <f t="shared" si="36"/>
        <v>-59291.630000000005</v>
      </c>
      <c r="AH24" s="167">
        <f t="shared" si="37"/>
        <v>-54533.84</v>
      </c>
      <c r="AI24" s="167">
        <f t="shared" si="38"/>
        <v>-63887.520000000004</v>
      </c>
    </row>
    <row r="25" spans="1:35" x14ac:dyDescent="0.25">
      <c r="A25" s="119" t="s">
        <v>5</v>
      </c>
      <c r="B25" s="84">
        <v>31912</v>
      </c>
      <c r="C25" s="84">
        <v>25903</v>
      </c>
      <c r="D25" s="84">
        <v>22226</v>
      </c>
      <c r="E25" s="84">
        <v>17842</v>
      </c>
      <c r="F25" s="127">
        <f t="shared" si="24"/>
        <v>24470.75</v>
      </c>
      <c r="G25" s="127">
        <f t="shared" si="25"/>
        <v>5955.4672570672401</v>
      </c>
      <c r="H25" s="127">
        <f t="shared" si="26"/>
        <v>5955.4672570672401</v>
      </c>
      <c r="I25" s="122"/>
      <c r="J25" s="119" t="s">
        <v>5</v>
      </c>
      <c r="K25" s="134">
        <f t="shared" si="39"/>
        <v>74056</v>
      </c>
      <c r="L25" s="134">
        <f t="shared" si="27"/>
        <v>66607</v>
      </c>
      <c r="M25" s="134">
        <f t="shared" si="27"/>
        <v>68129</v>
      </c>
      <c r="N25" s="134">
        <f t="shared" si="27"/>
        <v>73576</v>
      </c>
      <c r="O25" s="127">
        <f t="shared" si="28"/>
        <v>70592</v>
      </c>
      <c r="P25" s="127">
        <f t="shared" si="29"/>
        <v>3779.3361850991769</v>
      </c>
      <c r="Q25" s="127">
        <f t="shared" si="30"/>
        <v>3779.3361850991769</v>
      </c>
      <c r="S25" s="119" t="s">
        <v>5</v>
      </c>
      <c r="T25" s="134">
        <f t="shared" si="40"/>
        <v>170358</v>
      </c>
      <c r="U25" s="134">
        <f t="shared" si="31"/>
        <v>168749</v>
      </c>
      <c r="V25" s="134">
        <f t="shared" si="31"/>
        <v>178489</v>
      </c>
      <c r="W25" s="134">
        <f t="shared" si="31"/>
        <v>187489</v>
      </c>
      <c r="X25" s="127">
        <f t="shared" si="32"/>
        <v>176271.25</v>
      </c>
      <c r="Y25" s="127">
        <f t="shared" si="33"/>
        <v>8608.2731669404329</v>
      </c>
      <c r="Z25" s="127">
        <f t="shared" si="34"/>
        <v>8608.2731669404329</v>
      </c>
      <c r="AB25" s="153" t="s">
        <v>5</v>
      </c>
      <c r="AC25" s="77">
        <f t="shared" si="41"/>
        <v>-41262.680000000008</v>
      </c>
      <c r="AD25" s="77">
        <f t="shared" si="35"/>
        <v>-25540.839999999997</v>
      </c>
      <c r="AE25" s="77">
        <f t="shared" si="35"/>
        <v>-14731.080000000016</v>
      </c>
      <c r="AF25" s="77">
        <f t="shared" si="35"/>
        <v>-36188.160000000003</v>
      </c>
      <c r="AG25" s="166">
        <f t="shared" si="36"/>
        <v>-29430.690000000006</v>
      </c>
      <c r="AH25" s="167">
        <f t="shared" si="37"/>
        <v>-14731.080000000016</v>
      </c>
      <c r="AI25" s="167">
        <f t="shared" si="38"/>
        <v>-41262.680000000008</v>
      </c>
    </row>
    <row r="26" spans="1:35" x14ac:dyDescent="0.25">
      <c r="A26" s="119" t="s">
        <v>6</v>
      </c>
      <c r="B26" s="84">
        <v>29880</v>
      </c>
      <c r="C26" s="84">
        <v>20940</v>
      </c>
      <c r="D26" s="84">
        <v>20718</v>
      </c>
      <c r="E26" s="84">
        <v>18062</v>
      </c>
      <c r="F26" s="127">
        <f t="shared" si="24"/>
        <v>22400</v>
      </c>
      <c r="G26" s="127">
        <f t="shared" si="25"/>
        <v>5155.2357851023653</v>
      </c>
      <c r="H26" s="127">
        <f t="shared" si="26"/>
        <v>5155.2357851023653</v>
      </c>
      <c r="I26" s="122"/>
      <c r="J26" s="119" t="s">
        <v>6</v>
      </c>
      <c r="K26" s="134">
        <f t="shared" si="39"/>
        <v>93495</v>
      </c>
      <c r="L26" s="134">
        <f t="shared" si="27"/>
        <v>86289</v>
      </c>
      <c r="M26" s="134">
        <f t="shared" si="27"/>
        <v>80283</v>
      </c>
      <c r="N26" s="134">
        <f t="shared" si="27"/>
        <v>75614</v>
      </c>
      <c r="O26" s="127">
        <f t="shared" si="28"/>
        <v>83920.25</v>
      </c>
      <c r="P26" s="127">
        <f t="shared" si="29"/>
        <v>7735.4204960040797</v>
      </c>
      <c r="Q26" s="127">
        <f t="shared" si="30"/>
        <v>7735.4204960040797</v>
      </c>
      <c r="S26" s="119" t="s">
        <v>6</v>
      </c>
      <c r="T26" s="134">
        <f t="shared" si="40"/>
        <v>203948</v>
      </c>
      <c r="U26" s="134">
        <f t="shared" si="31"/>
        <v>209884</v>
      </c>
      <c r="V26" s="134">
        <f t="shared" si="31"/>
        <v>196891</v>
      </c>
      <c r="W26" s="134">
        <f t="shared" si="31"/>
        <v>202675</v>
      </c>
      <c r="X26" s="127">
        <f t="shared" si="32"/>
        <v>203349.5</v>
      </c>
      <c r="Y26" s="127">
        <f t="shared" si="33"/>
        <v>5329.9488740512325</v>
      </c>
      <c r="Z26" s="127">
        <f t="shared" si="34"/>
        <v>5329.9488740512325</v>
      </c>
      <c r="AB26" s="153" t="s">
        <v>6</v>
      </c>
      <c r="AC26" s="77">
        <f t="shared" si="41"/>
        <v>-63272.679999999993</v>
      </c>
      <c r="AD26" s="77">
        <f t="shared" si="35"/>
        <v>-48264.119999999995</v>
      </c>
      <c r="AE26" s="77">
        <f t="shared" si="35"/>
        <v>-50466.559999999998</v>
      </c>
      <c r="AF26" s="77">
        <f t="shared" si="35"/>
        <v>-54645.280000000028</v>
      </c>
      <c r="AG26" s="166">
        <f t="shared" si="36"/>
        <v>-54162.16</v>
      </c>
      <c r="AH26" s="167">
        <f t="shared" si="37"/>
        <v>-48264.119999999995</v>
      </c>
      <c r="AI26" s="167">
        <f t="shared" si="38"/>
        <v>-63272.679999999993</v>
      </c>
    </row>
    <row r="27" spans="1:35" x14ac:dyDescent="0.25">
      <c r="A27" s="119" t="s">
        <v>7</v>
      </c>
      <c r="B27" s="84">
        <v>29826</v>
      </c>
      <c r="C27" s="84">
        <v>26117</v>
      </c>
      <c r="D27" s="84">
        <v>20125</v>
      </c>
      <c r="E27" s="84">
        <v>17320</v>
      </c>
      <c r="F27" s="127">
        <f t="shared" si="24"/>
        <v>23347</v>
      </c>
      <c r="G27" s="127">
        <f t="shared" si="25"/>
        <v>5667.3437046527069</v>
      </c>
      <c r="H27" s="127">
        <f t="shared" si="26"/>
        <v>5667.3437046527069</v>
      </c>
      <c r="I27" s="122"/>
      <c r="J27" s="119" t="s">
        <v>7</v>
      </c>
      <c r="K27" s="134">
        <f t="shared" si="39"/>
        <v>92151</v>
      </c>
      <c r="L27" s="134">
        <f t="shared" si="27"/>
        <v>83519</v>
      </c>
      <c r="M27" s="134">
        <f t="shared" si="27"/>
        <v>77743</v>
      </c>
      <c r="N27" s="134">
        <f t="shared" si="27"/>
        <v>83104</v>
      </c>
      <c r="O27" s="127">
        <f t="shared" si="28"/>
        <v>84129.25</v>
      </c>
      <c r="P27" s="127">
        <f t="shared" si="29"/>
        <v>5959.7596358130641</v>
      </c>
      <c r="Q27" s="127">
        <f t="shared" si="30"/>
        <v>5959.7596358130641</v>
      </c>
      <c r="S27" s="119" t="s">
        <v>7</v>
      </c>
      <c r="T27" s="134">
        <f t="shared" si="40"/>
        <v>230114</v>
      </c>
      <c r="U27" s="134">
        <f t="shared" si="31"/>
        <v>215747</v>
      </c>
      <c r="V27" s="134">
        <f t="shared" si="31"/>
        <v>213652</v>
      </c>
      <c r="W27" s="134">
        <f t="shared" si="31"/>
        <v>235856</v>
      </c>
      <c r="X27" s="127">
        <f t="shared" si="32"/>
        <v>223842.25</v>
      </c>
      <c r="Y27" s="127">
        <f t="shared" si="33"/>
        <v>10848.030616199421</v>
      </c>
      <c r="Z27" s="127">
        <f t="shared" si="34"/>
        <v>10848.030616199421</v>
      </c>
      <c r="AB27" s="153" t="s">
        <v>7</v>
      </c>
      <c r="AC27" s="77">
        <f t="shared" si="41"/>
        <v>-76816.359999999986</v>
      </c>
      <c r="AD27" s="77">
        <f t="shared" si="35"/>
        <v>-50737.279999999999</v>
      </c>
      <c r="AE27" s="77">
        <f t="shared" si="35"/>
        <v>-4890.2399999999907</v>
      </c>
      <c r="AF27" s="77">
        <f t="shared" si="35"/>
        <v>-52212.080000000016</v>
      </c>
      <c r="AG27" s="166">
        <f t="shared" si="36"/>
        <v>-46163.99</v>
      </c>
      <c r="AH27" s="167">
        <f t="shared" si="37"/>
        <v>-4890.2399999999907</v>
      </c>
      <c r="AI27" s="167">
        <f t="shared" si="38"/>
        <v>-76816.359999999986</v>
      </c>
    </row>
    <row r="28" spans="1:35" x14ac:dyDescent="0.25">
      <c r="A28" s="119" t="s">
        <v>8</v>
      </c>
      <c r="B28" s="84">
        <v>30927</v>
      </c>
      <c r="C28" s="84">
        <v>22134</v>
      </c>
      <c r="D28" s="84">
        <v>15594</v>
      </c>
      <c r="E28" s="84">
        <v>13272</v>
      </c>
      <c r="F28" s="127">
        <f t="shared" si="24"/>
        <v>20481.75</v>
      </c>
      <c r="G28" s="127">
        <f t="shared" si="25"/>
        <v>7909.9888906369524</v>
      </c>
      <c r="H28" s="127">
        <f t="shared" si="26"/>
        <v>7909.9888906369524</v>
      </c>
      <c r="I28" s="122"/>
      <c r="J28" s="119" t="s">
        <v>8</v>
      </c>
      <c r="K28" s="134">
        <f t="shared" si="39"/>
        <v>102045</v>
      </c>
      <c r="L28" s="134">
        <f t="shared" si="27"/>
        <v>85365</v>
      </c>
      <c r="M28" s="134">
        <f t="shared" si="27"/>
        <v>87888</v>
      </c>
      <c r="N28" s="134">
        <f t="shared" si="27"/>
        <v>94209</v>
      </c>
      <c r="O28" s="127">
        <f t="shared" si="28"/>
        <v>92376.75</v>
      </c>
      <c r="P28" s="127">
        <f t="shared" si="29"/>
        <v>7441.9019242395289</v>
      </c>
      <c r="Q28" s="127">
        <f t="shared" si="30"/>
        <v>7441.9019242395289</v>
      </c>
      <c r="S28" s="119" t="s">
        <v>8</v>
      </c>
      <c r="T28" s="134">
        <f t="shared" si="40"/>
        <v>270079</v>
      </c>
      <c r="U28" s="134">
        <f t="shared" si="31"/>
        <v>258528</v>
      </c>
      <c r="V28" s="134">
        <f t="shared" si="31"/>
        <v>293437</v>
      </c>
      <c r="W28" s="134">
        <f t="shared" si="31"/>
        <v>285418</v>
      </c>
      <c r="X28" s="127">
        <f t="shared" si="32"/>
        <v>276865.5</v>
      </c>
      <c r="Y28" s="127">
        <f t="shared" si="33"/>
        <v>15600.003814102098</v>
      </c>
      <c r="Z28" s="127">
        <f t="shared" si="34"/>
        <v>15600.003814102098</v>
      </c>
      <c r="AB28" s="153" t="s">
        <v>8</v>
      </c>
      <c r="AC28" s="77">
        <f t="shared" si="41"/>
        <v>-79678.48000000001</v>
      </c>
      <c r="AD28" s="77">
        <f t="shared" si="35"/>
        <v>-83298.559999999998</v>
      </c>
      <c r="AE28" s="77">
        <f t="shared" si="35"/>
        <v>-21090.400000000023</v>
      </c>
      <c r="AF28" s="77">
        <f t="shared" si="35"/>
        <v>-57153.760000000009</v>
      </c>
      <c r="AG28" s="166">
        <f t="shared" si="36"/>
        <v>-60305.30000000001</v>
      </c>
      <c r="AH28" s="167">
        <f t="shared" si="37"/>
        <v>-21090.400000000023</v>
      </c>
      <c r="AI28" s="167">
        <f t="shared" si="38"/>
        <v>-83298.559999999998</v>
      </c>
    </row>
    <row r="29" spans="1:35" x14ac:dyDescent="0.25">
      <c r="A29" s="119" t="s">
        <v>9</v>
      </c>
      <c r="B29" s="84">
        <v>21163</v>
      </c>
      <c r="C29" s="84">
        <v>16795</v>
      </c>
      <c r="D29" s="84">
        <v>13503</v>
      </c>
      <c r="E29" s="84">
        <v>11366</v>
      </c>
      <c r="F29" s="127">
        <f t="shared" si="24"/>
        <v>15706.75</v>
      </c>
      <c r="G29" s="127">
        <f t="shared" si="25"/>
        <v>4268.2383856418646</v>
      </c>
      <c r="H29" s="127">
        <f t="shared" si="26"/>
        <v>4268.2383856418646</v>
      </c>
      <c r="I29" s="122"/>
      <c r="J29" s="119" t="s">
        <v>9</v>
      </c>
      <c r="K29" s="134">
        <f t="shared" si="39"/>
        <v>115720</v>
      </c>
      <c r="L29" s="134">
        <f t="shared" si="27"/>
        <v>96916</v>
      </c>
      <c r="M29" s="134">
        <f t="shared" si="27"/>
        <v>93987</v>
      </c>
      <c r="N29" s="134">
        <f t="shared" si="27"/>
        <v>105296</v>
      </c>
      <c r="O29" s="127">
        <f t="shared" si="28"/>
        <v>102979.75</v>
      </c>
      <c r="P29" s="127">
        <f t="shared" si="29"/>
        <v>9752.2236908649029</v>
      </c>
      <c r="Q29" s="127">
        <f t="shared" si="30"/>
        <v>9752.2236908649029</v>
      </c>
      <c r="S29" s="119" t="s">
        <v>9</v>
      </c>
      <c r="T29" s="134">
        <f t="shared" si="40"/>
        <v>319876</v>
      </c>
      <c r="U29" s="134">
        <f t="shared" si="31"/>
        <v>285171</v>
      </c>
      <c r="V29" s="134">
        <f t="shared" si="31"/>
        <v>311983</v>
      </c>
      <c r="W29" s="134">
        <f t="shared" si="31"/>
        <v>329727</v>
      </c>
      <c r="X29" s="127">
        <f t="shared" si="32"/>
        <v>311689.25</v>
      </c>
      <c r="Y29" s="127">
        <f t="shared" si="33"/>
        <v>19110.96694527342</v>
      </c>
      <c r="Z29" s="127">
        <f t="shared" si="34"/>
        <v>19110.96694527342</v>
      </c>
      <c r="AB29" s="153" t="s">
        <v>9</v>
      </c>
      <c r="AC29" s="77">
        <f t="shared" si="41"/>
        <v>-124912.52000000002</v>
      </c>
      <c r="AD29" s="77">
        <f t="shared" si="35"/>
        <v>-110619.84</v>
      </c>
      <c r="AE29" s="77">
        <f t="shared" si="35"/>
        <v>-77904.320000000007</v>
      </c>
      <c r="AF29" s="77">
        <f t="shared" si="35"/>
        <v>-107366.16000000003</v>
      </c>
      <c r="AG29" s="166">
        <f t="shared" si="36"/>
        <v>-105200.71000000002</v>
      </c>
      <c r="AH29" s="167">
        <f t="shared" si="37"/>
        <v>-77904.320000000007</v>
      </c>
      <c r="AI29" s="167">
        <f t="shared" si="38"/>
        <v>-124912.52000000002</v>
      </c>
    </row>
    <row r="30" spans="1:35" x14ac:dyDescent="0.25">
      <c r="A30" s="119" t="s">
        <v>10</v>
      </c>
      <c r="B30" s="84">
        <v>27409</v>
      </c>
      <c r="C30" s="84">
        <v>22283</v>
      </c>
      <c r="D30" s="84">
        <v>17047</v>
      </c>
      <c r="E30" s="84">
        <v>14794</v>
      </c>
      <c r="F30" s="127">
        <f t="shared" si="24"/>
        <v>20383.25</v>
      </c>
      <c r="G30" s="127">
        <f t="shared" si="25"/>
        <v>5637.3898437131347</v>
      </c>
      <c r="H30" s="127">
        <f t="shared" si="26"/>
        <v>5637.3898437131347</v>
      </c>
      <c r="I30" s="122"/>
      <c r="J30" s="119" t="s">
        <v>10</v>
      </c>
      <c r="K30" s="134">
        <f t="shared" si="39"/>
        <v>101062</v>
      </c>
      <c r="L30" s="134">
        <f t="shared" si="27"/>
        <v>89381</v>
      </c>
      <c r="M30" s="134">
        <f t="shared" si="27"/>
        <v>84499</v>
      </c>
      <c r="N30" s="134">
        <f t="shared" si="27"/>
        <v>94090</v>
      </c>
      <c r="O30" s="127">
        <f t="shared" si="28"/>
        <v>92258</v>
      </c>
      <c r="P30" s="127">
        <f t="shared" si="29"/>
        <v>7055.6325017676481</v>
      </c>
      <c r="Q30" s="127">
        <f t="shared" si="30"/>
        <v>7055.6325017676481</v>
      </c>
      <c r="S30" s="119" t="s">
        <v>10</v>
      </c>
      <c r="T30" s="134">
        <f t="shared" si="40"/>
        <v>226134</v>
      </c>
      <c r="U30" s="134">
        <f t="shared" si="31"/>
        <v>230580</v>
      </c>
      <c r="V30" s="134">
        <f t="shared" si="31"/>
        <v>228996</v>
      </c>
      <c r="W30" s="134">
        <f t="shared" si="31"/>
        <v>241576</v>
      </c>
      <c r="X30" s="127">
        <f t="shared" si="32"/>
        <v>231821.5</v>
      </c>
      <c r="Y30" s="127">
        <f t="shared" si="33"/>
        <v>6758.2714506003676</v>
      </c>
      <c r="Z30" s="127">
        <f t="shared" si="34"/>
        <v>6758.2714506003676</v>
      </c>
      <c r="AB30" s="153" t="s">
        <v>10</v>
      </c>
      <c r="AC30" s="77">
        <f t="shared" si="41"/>
        <v>-70449.239999999991</v>
      </c>
      <c r="AD30" s="77">
        <f t="shared" si="35"/>
        <v>-67279.039999999979</v>
      </c>
      <c r="AE30" s="77">
        <f t="shared" si="35"/>
        <v>-61998.200000000012</v>
      </c>
      <c r="AF30" s="77">
        <f t="shared" si="35"/>
        <v>-56605.84</v>
      </c>
      <c r="AG30" s="166">
        <f t="shared" si="36"/>
        <v>-64083.079999999994</v>
      </c>
      <c r="AH30" s="167">
        <f t="shared" si="37"/>
        <v>-56605.84</v>
      </c>
      <c r="AI30" s="167">
        <f t="shared" si="38"/>
        <v>-70449.239999999991</v>
      </c>
    </row>
    <row r="31" spans="1:35" x14ac:dyDescent="0.25">
      <c r="A31" s="119" t="s">
        <v>11</v>
      </c>
      <c r="B31" s="84">
        <v>27606</v>
      </c>
      <c r="C31" s="84">
        <v>24380</v>
      </c>
      <c r="D31" s="84">
        <v>18201</v>
      </c>
      <c r="E31" s="84">
        <v>19246</v>
      </c>
      <c r="F31" s="127">
        <f t="shared" si="24"/>
        <v>22358.25</v>
      </c>
      <c r="G31" s="127">
        <f t="shared" si="25"/>
        <v>4419.4713390479938</v>
      </c>
      <c r="H31" s="127">
        <f t="shared" si="26"/>
        <v>4419.4713390479938</v>
      </c>
      <c r="I31" s="122"/>
      <c r="J31" s="119" t="s">
        <v>11</v>
      </c>
      <c r="K31" s="134">
        <f t="shared" si="39"/>
        <v>77115</v>
      </c>
      <c r="L31" s="134">
        <f t="shared" si="27"/>
        <v>83474</v>
      </c>
      <c r="M31" s="134">
        <f t="shared" si="27"/>
        <v>68034</v>
      </c>
      <c r="N31" s="134">
        <f t="shared" si="27"/>
        <v>69373</v>
      </c>
      <c r="O31" s="127">
        <f t="shared" si="28"/>
        <v>74499</v>
      </c>
      <c r="P31" s="127">
        <f t="shared" si="29"/>
        <v>7198.7541051675507</v>
      </c>
      <c r="Q31" s="127">
        <f t="shared" si="30"/>
        <v>7198.7541051675507</v>
      </c>
      <c r="S31" s="119" t="s">
        <v>11</v>
      </c>
      <c r="T31" s="134">
        <f t="shared" si="40"/>
        <v>179707</v>
      </c>
      <c r="U31" s="134">
        <f t="shared" si="31"/>
        <v>183810</v>
      </c>
      <c r="V31" s="134">
        <f t="shared" si="31"/>
        <v>173215</v>
      </c>
      <c r="W31" s="134">
        <f t="shared" si="31"/>
        <v>181038</v>
      </c>
      <c r="X31" s="127">
        <f t="shared" si="32"/>
        <v>179442.5</v>
      </c>
      <c r="Y31" s="127">
        <f t="shared" si="33"/>
        <v>4489.7064863232799</v>
      </c>
      <c r="Z31" s="127">
        <f t="shared" si="34"/>
        <v>4489.7064863232799</v>
      </c>
      <c r="AB31" s="153" t="s">
        <v>11</v>
      </c>
      <c r="AC31" s="77">
        <f t="shared" si="41"/>
        <v>-50913.960000000006</v>
      </c>
      <c r="AD31" s="77">
        <f t="shared" si="35"/>
        <v>-34947.679999999993</v>
      </c>
      <c r="AE31" s="77">
        <f t="shared" si="35"/>
        <v>-47154.48000000001</v>
      </c>
      <c r="AF31" s="77">
        <f t="shared" si="35"/>
        <v>-28301.880000000005</v>
      </c>
      <c r="AG31" s="166">
        <f t="shared" si="36"/>
        <v>-40329.5</v>
      </c>
      <c r="AH31" s="167">
        <f t="shared" si="37"/>
        <v>-28301.880000000005</v>
      </c>
      <c r="AI31" s="167">
        <f t="shared" si="38"/>
        <v>-50913.960000000006</v>
      </c>
    </row>
    <row r="32" spans="1:35" x14ac:dyDescent="0.25">
      <c r="A32" s="119" t="s">
        <v>12</v>
      </c>
      <c r="B32" s="84">
        <v>26072</v>
      </c>
      <c r="C32" s="84">
        <v>28004</v>
      </c>
      <c r="D32" s="84">
        <v>20878</v>
      </c>
      <c r="E32" s="113">
        <v>22153</v>
      </c>
      <c r="F32" s="127">
        <f t="shared" si="24"/>
        <v>24276.75</v>
      </c>
      <c r="G32" s="127">
        <f t="shared" si="25"/>
        <v>3325.5140329478891</v>
      </c>
      <c r="H32" s="127">
        <f t="shared" si="26"/>
        <v>3325.5140329478891</v>
      </c>
      <c r="I32" s="122"/>
      <c r="J32" s="119" t="s">
        <v>12</v>
      </c>
      <c r="K32" s="134">
        <f t="shared" si="39"/>
        <v>51851</v>
      </c>
      <c r="L32" s="134">
        <f t="shared" si="27"/>
        <v>52916</v>
      </c>
      <c r="M32" s="134">
        <f t="shared" si="27"/>
        <v>44560</v>
      </c>
      <c r="N32" s="134">
        <f t="shared" si="27"/>
        <v>22153</v>
      </c>
      <c r="O32" s="127">
        <f t="shared" si="28"/>
        <v>42870</v>
      </c>
      <c r="P32" s="127">
        <f t="shared" si="29"/>
        <v>14301.872441513849</v>
      </c>
      <c r="Q32" s="127">
        <f t="shared" si="30"/>
        <v>14301.872441513849</v>
      </c>
      <c r="S32" s="119" t="s">
        <v>12</v>
      </c>
      <c r="T32" s="134">
        <f t="shared" si="40"/>
        <v>128525</v>
      </c>
      <c r="U32" s="134">
        <f t="shared" si="31"/>
        <v>128000</v>
      </c>
      <c r="V32" s="134">
        <f t="shared" si="31"/>
        <v>131660</v>
      </c>
      <c r="W32" s="134">
        <f t="shared" si="31"/>
        <v>96512</v>
      </c>
      <c r="X32" s="127">
        <f t="shared" si="32"/>
        <v>121174.25</v>
      </c>
      <c r="Y32" s="127">
        <f t="shared" si="33"/>
        <v>16520.713430418193</v>
      </c>
      <c r="Z32" s="127">
        <f t="shared" si="34"/>
        <v>16520.713430418193</v>
      </c>
      <c r="AB32" s="153" t="s">
        <v>12</v>
      </c>
      <c r="AC32" s="77">
        <f t="shared" si="41"/>
        <v>-49447.839999999997</v>
      </c>
      <c r="AD32" s="77">
        <f t="shared" si="35"/>
        <v>-41009.160000000003</v>
      </c>
      <c r="AE32" s="77">
        <f t="shared" si="35"/>
        <v>-34303.199999999997</v>
      </c>
      <c r="AF32" s="77">
        <f t="shared" si="35"/>
        <v>-96512</v>
      </c>
      <c r="AG32" s="166">
        <f t="shared" si="36"/>
        <v>-55318.05</v>
      </c>
      <c r="AH32" s="167">
        <f t="shared" si="37"/>
        <v>-34303.199999999997</v>
      </c>
      <c r="AI32" s="167">
        <f t="shared" si="38"/>
        <v>-96512</v>
      </c>
    </row>
    <row r="33" spans="1:35" ht="15.75" thickBot="1" x14ac:dyDescent="0.3">
      <c r="A33" s="119" t="s">
        <v>13</v>
      </c>
      <c r="B33" s="114">
        <v>23244</v>
      </c>
      <c r="C33" s="114">
        <v>25777</v>
      </c>
      <c r="D33" s="116">
        <v>17458</v>
      </c>
      <c r="E33" s="114"/>
      <c r="F33" s="127">
        <f t="shared" si="24"/>
        <v>22159.666666666668</v>
      </c>
      <c r="G33" s="127">
        <f t="shared" si="25"/>
        <v>4264.1850725939858</v>
      </c>
      <c r="H33" s="127">
        <f t="shared" si="26"/>
        <v>4264.1850725939858</v>
      </c>
      <c r="I33" s="122"/>
      <c r="J33" s="119" t="s">
        <v>13</v>
      </c>
      <c r="K33" s="134">
        <f t="shared" si="39"/>
        <v>61668</v>
      </c>
      <c r="L33" s="134">
        <f t="shared" si="27"/>
        <v>60442</v>
      </c>
      <c r="M33" s="134">
        <f t="shared" si="27"/>
        <v>45763</v>
      </c>
      <c r="N33" s="134"/>
      <c r="O33" s="127">
        <f t="shared" si="28"/>
        <v>55957.666666666664</v>
      </c>
      <c r="P33" s="127">
        <f t="shared" si="29"/>
        <v>8850.095498543109</v>
      </c>
      <c r="Q33" s="127">
        <f t="shared" si="30"/>
        <v>8850.095498543109</v>
      </c>
      <c r="S33" s="119" t="s">
        <v>13</v>
      </c>
      <c r="T33" s="134">
        <f>K33+B102+B52+B138</f>
        <v>138442</v>
      </c>
      <c r="U33" s="134">
        <f t="shared" si="31"/>
        <v>136644</v>
      </c>
      <c r="V33" s="134">
        <f t="shared" si="31"/>
        <v>134400</v>
      </c>
      <c r="W33" s="134">
        <f t="shared" si="31"/>
        <v>0</v>
      </c>
      <c r="X33" s="127">
        <f t="shared" si="32"/>
        <v>102371.5</v>
      </c>
      <c r="Y33" s="127">
        <f t="shared" si="33"/>
        <v>68267.693801680449</v>
      </c>
      <c r="Z33" s="127">
        <f t="shared" si="34"/>
        <v>68267.693801680449</v>
      </c>
      <c r="AB33" s="168" t="s">
        <v>13</v>
      </c>
      <c r="AC33" s="43">
        <f t="shared" si="41"/>
        <v>-57060.119999999995</v>
      </c>
      <c r="AD33" s="43">
        <f t="shared" si="35"/>
        <v>-50660</v>
      </c>
      <c r="AE33" s="43">
        <f t="shared" si="35"/>
        <v>-34189.64</v>
      </c>
      <c r="AF33" s="43"/>
      <c r="AG33" s="166">
        <f t="shared" si="36"/>
        <v>-47303.253333333334</v>
      </c>
      <c r="AH33" s="167">
        <f t="shared" si="37"/>
        <v>-34189.64</v>
      </c>
      <c r="AI33" s="167">
        <f t="shared" si="38"/>
        <v>-57060.119999999995</v>
      </c>
    </row>
    <row r="34" spans="1:35" ht="16.5" thickTop="1" thickBot="1" x14ac:dyDescent="0.3">
      <c r="A34" s="128" t="s">
        <v>0</v>
      </c>
      <c r="B34" s="137">
        <f t="shared" ref="B34:D34" si="42">SUM(B22:B33)</f>
        <v>354387</v>
      </c>
      <c r="C34" s="137">
        <f t="shared" si="42"/>
        <v>293475</v>
      </c>
      <c r="D34" s="137">
        <f t="shared" si="42"/>
        <v>243520</v>
      </c>
      <c r="E34" s="137">
        <f>SUM(E22:E33)</f>
        <v>194973</v>
      </c>
      <c r="I34" s="122"/>
      <c r="J34" s="128" t="s">
        <v>0</v>
      </c>
      <c r="K34" s="129">
        <f t="shared" ref="K34:M34" si="43">SUM(K22:K33)</f>
        <v>959367</v>
      </c>
      <c r="L34" s="129">
        <f t="shared" si="43"/>
        <v>867681</v>
      </c>
      <c r="M34" s="129">
        <f t="shared" si="43"/>
        <v>812263</v>
      </c>
      <c r="N34" s="129">
        <f>SUM(N22:N33)</f>
        <v>749676</v>
      </c>
      <c r="S34" s="128" t="s">
        <v>0</v>
      </c>
      <c r="T34" s="129">
        <f t="shared" ref="T34:V34" si="44">SUM(T22:T33)</f>
        <v>2247348</v>
      </c>
      <c r="U34" s="129">
        <f t="shared" si="44"/>
        <v>2205318</v>
      </c>
      <c r="V34" s="129">
        <f t="shared" si="44"/>
        <v>2260238</v>
      </c>
      <c r="W34" s="129">
        <f>SUM(W22:W33)</f>
        <v>2154423</v>
      </c>
      <c r="AB34" s="169" t="s">
        <v>0</v>
      </c>
      <c r="AC34" s="170">
        <f>SUM(AC22:AC33)</f>
        <v>-748843.32</v>
      </c>
      <c r="AD34" s="170">
        <f>SUM(AD22:AD33)</f>
        <v>-667990.75999999989</v>
      </c>
      <c r="AE34" s="170">
        <f>SUM(AE22:AE33)</f>
        <v>-485748.84000000014</v>
      </c>
      <c r="AF34" s="170">
        <f>SUM(AF22:AF33)</f>
        <v>-648790.24000000011</v>
      </c>
      <c r="AG34" s="148"/>
      <c r="AH34" s="148"/>
      <c r="AI34" s="148"/>
    </row>
    <row r="35" spans="1:35" ht="15.75" thickTop="1" x14ac:dyDescent="0.25">
      <c r="A35" s="1" t="s">
        <v>14</v>
      </c>
      <c r="B35" s="1"/>
      <c r="C35" s="1"/>
      <c r="D35" s="1"/>
      <c r="E35" s="1"/>
      <c r="F35" s="1"/>
      <c r="I35" s="122"/>
      <c r="J35" s="136" t="s">
        <v>14</v>
      </c>
      <c r="K35" s="136"/>
      <c r="L35" s="136"/>
      <c r="M35" s="136"/>
      <c r="N35" s="136"/>
      <c r="O35" s="136"/>
      <c r="P35" s="136"/>
      <c r="Q35" s="136"/>
      <c r="S35" s="136" t="s">
        <v>14</v>
      </c>
      <c r="T35" s="136"/>
      <c r="U35" s="136"/>
      <c r="V35" s="136"/>
      <c r="W35" s="136"/>
      <c r="X35" s="136"/>
      <c r="Y35" s="136"/>
      <c r="Z35" s="136"/>
    </row>
    <row r="36" spans="1:35" x14ac:dyDescent="0.25">
      <c r="A36" s="130" t="s">
        <v>15</v>
      </c>
      <c r="B36" s="127">
        <f t="shared" ref="B36:H36" si="45">AVERAGE(B22:B24,B31:B33)</f>
        <v>30545</v>
      </c>
      <c r="C36" s="127">
        <f t="shared" si="45"/>
        <v>26550.5</v>
      </c>
      <c r="D36" s="127">
        <f t="shared" si="45"/>
        <v>22384.5</v>
      </c>
      <c r="E36" s="127">
        <f t="shared" si="45"/>
        <v>20463.400000000001</v>
      </c>
      <c r="F36" s="127">
        <f t="shared" si="45"/>
        <v>25056.527777777777</v>
      </c>
      <c r="G36" s="127">
        <f t="shared" si="45"/>
        <v>5177.857606132613</v>
      </c>
      <c r="H36" s="127">
        <f t="shared" si="45"/>
        <v>5177.857606132613</v>
      </c>
      <c r="I36" s="127"/>
      <c r="J36" s="130" t="s">
        <v>15</v>
      </c>
      <c r="K36" s="127">
        <f t="shared" ref="K36:Q36" si="46">AVERAGE(K22:K24,K31:K33)</f>
        <v>63473</v>
      </c>
      <c r="L36" s="127">
        <f t="shared" si="46"/>
        <v>59934</v>
      </c>
      <c r="M36" s="127">
        <f t="shared" si="46"/>
        <v>53289</v>
      </c>
      <c r="N36" s="127">
        <f t="shared" si="46"/>
        <v>44757.4</v>
      </c>
      <c r="O36" s="127">
        <f t="shared" si="46"/>
        <v>55830.027777777781</v>
      </c>
      <c r="P36" s="127">
        <f t="shared" si="46"/>
        <v>9055.2726448630547</v>
      </c>
      <c r="Q36" s="127">
        <f t="shared" si="46"/>
        <v>9055.2726448630547</v>
      </c>
      <c r="S36" s="130" t="s">
        <v>15</v>
      </c>
      <c r="T36" s="127">
        <f t="shared" ref="T36:Z36" si="47">AVERAGE(T22:T24,T31:T33)</f>
        <v>137806.5</v>
      </c>
      <c r="U36" s="127">
        <f t="shared" si="47"/>
        <v>139443.16666666666</v>
      </c>
      <c r="V36" s="127">
        <f t="shared" si="47"/>
        <v>139465</v>
      </c>
      <c r="W36" s="127">
        <f t="shared" si="47"/>
        <v>111947</v>
      </c>
      <c r="X36" s="127">
        <f t="shared" si="47"/>
        <v>132165.41666666666</v>
      </c>
      <c r="Y36" s="127">
        <f t="shared" si="47"/>
        <v>16721.695063329586</v>
      </c>
      <c r="Z36" s="127">
        <f t="shared" si="47"/>
        <v>16721.695063329586</v>
      </c>
    </row>
    <row r="37" spans="1:35" x14ac:dyDescent="0.25">
      <c r="A37" s="130" t="s">
        <v>16</v>
      </c>
      <c r="B37" s="127">
        <f t="shared" ref="B37:H37" si="48">AVERAGE(B25:B30)</f>
        <v>28519.5</v>
      </c>
      <c r="C37" s="127">
        <f t="shared" si="48"/>
        <v>22362</v>
      </c>
      <c r="D37" s="127">
        <f t="shared" si="48"/>
        <v>18202.166666666668</v>
      </c>
      <c r="E37" s="127">
        <f t="shared" si="48"/>
        <v>15442.666666666666</v>
      </c>
      <c r="F37" s="127">
        <f t="shared" si="48"/>
        <v>21131.583333333332</v>
      </c>
      <c r="G37" s="127">
        <f t="shared" si="48"/>
        <v>5765.610644469044</v>
      </c>
      <c r="H37" s="127">
        <f t="shared" si="48"/>
        <v>5765.610644469044</v>
      </c>
      <c r="I37" s="127"/>
      <c r="J37" s="130" t="s">
        <v>16</v>
      </c>
      <c r="K37" s="127">
        <f t="shared" ref="K37:Q37" si="49">AVERAGE(K25:K30)</f>
        <v>96421.5</v>
      </c>
      <c r="L37" s="127">
        <f t="shared" si="49"/>
        <v>84679.5</v>
      </c>
      <c r="M37" s="127">
        <f t="shared" si="49"/>
        <v>82088.166666666672</v>
      </c>
      <c r="N37" s="127">
        <f t="shared" si="49"/>
        <v>87648.166666666672</v>
      </c>
      <c r="O37" s="127">
        <f t="shared" si="49"/>
        <v>87709.333333333328</v>
      </c>
      <c r="P37" s="127">
        <f t="shared" si="49"/>
        <v>6954.0457389647336</v>
      </c>
      <c r="Q37" s="127">
        <f t="shared" si="49"/>
        <v>6954.0457389647336</v>
      </c>
      <c r="S37" s="130" t="s">
        <v>16</v>
      </c>
      <c r="T37" s="127">
        <f t="shared" ref="T37:Z37" si="50">AVERAGE(T25:T30)</f>
        <v>236751.5</v>
      </c>
      <c r="U37" s="127">
        <f t="shared" si="50"/>
        <v>228109.83333333334</v>
      </c>
      <c r="V37" s="127">
        <f t="shared" si="50"/>
        <v>237241.33333333334</v>
      </c>
      <c r="W37" s="127">
        <f t="shared" si="50"/>
        <v>247123.5</v>
      </c>
      <c r="X37" s="127">
        <f t="shared" si="50"/>
        <v>237306.54166666666</v>
      </c>
      <c r="Y37" s="127">
        <f t="shared" si="50"/>
        <v>11042.582477861162</v>
      </c>
      <c r="Z37" s="127">
        <f t="shared" si="50"/>
        <v>11042.582477861162</v>
      </c>
    </row>
    <row r="38" spans="1:35" ht="15.75" thickBot="1" x14ac:dyDescent="0.3"/>
    <row r="39" spans="1:35" ht="17.25" thickTop="1" thickBot="1" x14ac:dyDescent="0.3">
      <c r="A39" s="140" t="s">
        <v>118</v>
      </c>
      <c r="B39" s="141"/>
      <c r="C39" s="141"/>
      <c r="D39" s="141"/>
      <c r="E39" s="141"/>
      <c r="F39" s="142"/>
      <c r="AB39" s="140" t="s">
        <v>186</v>
      </c>
      <c r="AC39" s="141"/>
      <c r="AD39" s="141"/>
      <c r="AE39" s="141"/>
      <c r="AF39" s="141"/>
    </row>
    <row r="40" spans="1:35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AB40" s="124"/>
      <c r="AC40" s="125">
        <v>2014</v>
      </c>
      <c r="AD40" s="125">
        <v>2015</v>
      </c>
      <c r="AE40" s="125">
        <v>2016</v>
      </c>
      <c r="AF40" s="125">
        <v>2017</v>
      </c>
    </row>
    <row r="41" spans="1:35" x14ac:dyDescent="0.25">
      <c r="A41" s="119" t="s">
        <v>2</v>
      </c>
      <c r="B41" s="84">
        <v>38443</v>
      </c>
      <c r="C41" s="84">
        <v>54993</v>
      </c>
      <c r="D41" s="84">
        <v>50882</v>
      </c>
      <c r="E41" s="84">
        <v>61619</v>
      </c>
      <c r="AB41" s="119" t="s">
        <v>2</v>
      </c>
      <c r="AC41" s="77">
        <f>-1*AC22</f>
        <v>40941.279999999999</v>
      </c>
      <c r="AD41" s="77">
        <f t="shared" ref="AD41:AF41" si="51">-1*AD22</f>
        <v>47573.399999999994</v>
      </c>
      <c r="AE41" s="77">
        <f t="shared" si="51"/>
        <v>32310.760000000009</v>
      </c>
      <c r="AF41" s="77">
        <f t="shared" si="51"/>
        <v>44097.399999999994</v>
      </c>
    </row>
    <row r="42" spans="1:35" x14ac:dyDescent="0.25">
      <c r="A42" s="119" t="s">
        <v>3</v>
      </c>
      <c r="B42" s="84">
        <v>45848</v>
      </c>
      <c r="C42" s="84">
        <v>52015</v>
      </c>
      <c r="D42" s="84">
        <v>58836</v>
      </c>
      <c r="E42" s="84">
        <v>59560</v>
      </c>
      <c r="AB42" s="119" t="s">
        <v>3</v>
      </c>
      <c r="AC42" s="77">
        <f t="shared" ref="AC42:AF52" si="52">-1*AC23</f>
        <v>39554.320000000007</v>
      </c>
      <c r="AD42" s="77">
        <f t="shared" si="52"/>
        <v>45827.56</v>
      </c>
      <c r="AE42" s="77">
        <f t="shared" si="52"/>
        <v>50198.080000000002</v>
      </c>
      <c r="AF42" s="77">
        <f t="shared" si="52"/>
        <v>51820.160000000003</v>
      </c>
    </row>
    <row r="43" spans="1:35" x14ac:dyDescent="0.25">
      <c r="A43" s="119" t="s">
        <v>4</v>
      </c>
      <c r="B43" s="84">
        <v>49189</v>
      </c>
      <c r="C43" s="84">
        <v>63267</v>
      </c>
      <c r="D43" s="84">
        <v>64404</v>
      </c>
      <c r="E43" s="84">
        <v>77308</v>
      </c>
      <c r="AB43" s="119" t="s">
        <v>4</v>
      </c>
      <c r="AC43" s="77">
        <f t="shared" si="52"/>
        <v>54533.84</v>
      </c>
      <c r="AD43" s="77">
        <f t="shared" si="52"/>
        <v>62233.279999999999</v>
      </c>
      <c r="AE43" s="77">
        <f t="shared" si="52"/>
        <v>56511.880000000005</v>
      </c>
      <c r="AF43" s="77">
        <f t="shared" si="52"/>
        <v>63887.520000000004</v>
      </c>
    </row>
    <row r="44" spans="1:35" x14ac:dyDescent="0.25">
      <c r="A44" s="119" t="s">
        <v>5</v>
      </c>
      <c r="B44" s="84">
        <v>60548</v>
      </c>
      <c r="C44" s="84">
        <v>62764</v>
      </c>
      <c r="D44" s="84">
        <v>64967</v>
      </c>
      <c r="E44" s="84">
        <v>72417</v>
      </c>
      <c r="AB44" s="119" t="s">
        <v>5</v>
      </c>
      <c r="AC44" s="77">
        <f t="shared" si="52"/>
        <v>41262.680000000008</v>
      </c>
      <c r="AD44" s="77">
        <f t="shared" si="52"/>
        <v>25540.839999999997</v>
      </c>
      <c r="AE44" s="77">
        <f t="shared" si="52"/>
        <v>14731.080000000016</v>
      </c>
      <c r="AF44" s="77">
        <f t="shared" si="52"/>
        <v>36188.160000000003</v>
      </c>
    </row>
    <row r="45" spans="1:35" x14ac:dyDescent="0.25">
      <c r="A45" s="119" t="s">
        <v>6</v>
      </c>
      <c r="B45" s="84">
        <v>59300</v>
      </c>
      <c r="C45" s="84">
        <v>61828</v>
      </c>
      <c r="D45" s="84">
        <v>66394</v>
      </c>
      <c r="E45" s="84">
        <v>75404</v>
      </c>
      <c r="AB45" s="119" t="s">
        <v>6</v>
      </c>
      <c r="AC45" s="77">
        <f t="shared" si="52"/>
        <v>63272.679999999993</v>
      </c>
      <c r="AD45" s="77">
        <f t="shared" si="52"/>
        <v>48264.119999999995</v>
      </c>
      <c r="AE45" s="77">
        <f t="shared" si="52"/>
        <v>50466.559999999998</v>
      </c>
      <c r="AF45" s="77">
        <f t="shared" si="52"/>
        <v>54645.280000000028</v>
      </c>
    </row>
    <row r="46" spans="1:35" x14ac:dyDescent="0.25">
      <c r="A46" s="119" t="s">
        <v>7</v>
      </c>
      <c r="B46" s="84">
        <v>64967</v>
      </c>
      <c r="C46" s="84">
        <v>68592</v>
      </c>
      <c r="D46" s="84">
        <v>69462</v>
      </c>
      <c r="E46" s="84">
        <v>77446</v>
      </c>
      <c r="AB46" s="119" t="s">
        <v>7</v>
      </c>
      <c r="AC46" s="77">
        <f t="shared" si="52"/>
        <v>76816.359999999986</v>
      </c>
      <c r="AD46" s="77">
        <f t="shared" si="52"/>
        <v>50737.279999999999</v>
      </c>
      <c r="AE46" s="77">
        <f t="shared" si="52"/>
        <v>4890.2399999999907</v>
      </c>
      <c r="AF46" s="77">
        <f t="shared" si="52"/>
        <v>52212.080000000016</v>
      </c>
    </row>
    <row r="47" spans="1:35" x14ac:dyDescent="0.25">
      <c r="A47" s="119" t="s">
        <v>8</v>
      </c>
      <c r="B47" s="84">
        <v>63301</v>
      </c>
      <c r="C47" s="84">
        <v>71958</v>
      </c>
      <c r="D47" s="84">
        <v>72187</v>
      </c>
      <c r="E47" s="84">
        <v>76873</v>
      </c>
      <c r="AB47" s="119" t="s">
        <v>8</v>
      </c>
      <c r="AC47" s="77">
        <f t="shared" si="52"/>
        <v>79678.48000000001</v>
      </c>
      <c r="AD47" s="77">
        <f t="shared" si="52"/>
        <v>83298.559999999998</v>
      </c>
      <c r="AE47" s="77">
        <f t="shared" si="52"/>
        <v>21090.400000000023</v>
      </c>
      <c r="AF47" s="77">
        <f t="shared" si="52"/>
        <v>57153.760000000009</v>
      </c>
    </row>
    <row r="48" spans="1:35" x14ac:dyDescent="0.25">
      <c r="A48" s="119" t="s">
        <v>9</v>
      </c>
      <c r="B48" s="84">
        <v>54411</v>
      </c>
      <c r="C48" s="84">
        <v>61556</v>
      </c>
      <c r="D48" s="84">
        <v>70123</v>
      </c>
      <c r="E48" s="84">
        <v>73372</v>
      </c>
      <c r="AB48" s="119" t="s">
        <v>9</v>
      </c>
      <c r="AC48" s="77">
        <f t="shared" si="52"/>
        <v>124912.52000000002</v>
      </c>
      <c r="AD48" s="77">
        <f t="shared" si="52"/>
        <v>110619.84</v>
      </c>
      <c r="AE48" s="77">
        <f t="shared" si="52"/>
        <v>77904.320000000007</v>
      </c>
      <c r="AF48" s="77">
        <f t="shared" si="52"/>
        <v>107366.16000000003</v>
      </c>
    </row>
    <row r="49" spans="1:33" x14ac:dyDescent="0.25">
      <c r="A49" s="119" t="s">
        <v>10</v>
      </c>
      <c r="B49" s="84">
        <v>53603</v>
      </c>
      <c r="C49" s="84">
        <v>60952</v>
      </c>
      <c r="D49" s="84">
        <v>64361</v>
      </c>
      <c r="E49" s="84">
        <v>66267</v>
      </c>
      <c r="AB49" s="119" t="s">
        <v>10</v>
      </c>
      <c r="AC49" s="77">
        <f t="shared" si="52"/>
        <v>70449.239999999991</v>
      </c>
      <c r="AD49" s="77">
        <f t="shared" si="52"/>
        <v>67279.039999999979</v>
      </c>
      <c r="AE49" s="77">
        <f t="shared" si="52"/>
        <v>61998.200000000012</v>
      </c>
      <c r="AF49" s="77">
        <f t="shared" si="52"/>
        <v>56605.84</v>
      </c>
    </row>
    <row r="50" spans="1:33" x14ac:dyDescent="0.25">
      <c r="A50" s="119" t="s">
        <v>11</v>
      </c>
      <c r="B50" s="84">
        <v>58285</v>
      </c>
      <c r="C50" s="84">
        <v>56176</v>
      </c>
      <c r="D50" s="84">
        <v>60769</v>
      </c>
      <c r="E50" s="84">
        <v>68750</v>
      </c>
      <c r="AB50" s="119" t="s">
        <v>11</v>
      </c>
      <c r="AC50" s="77">
        <f t="shared" si="52"/>
        <v>50913.960000000006</v>
      </c>
      <c r="AD50" s="77">
        <f t="shared" si="52"/>
        <v>34947.679999999993</v>
      </c>
      <c r="AE50" s="77">
        <f t="shared" si="52"/>
        <v>47154.48000000001</v>
      </c>
      <c r="AF50" s="77">
        <f t="shared" si="52"/>
        <v>28301.880000000005</v>
      </c>
    </row>
    <row r="51" spans="1:33" x14ac:dyDescent="0.25">
      <c r="A51" s="119" t="s">
        <v>12</v>
      </c>
      <c r="B51" s="84">
        <v>54240</v>
      </c>
      <c r="C51" s="84">
        <v>53574</v>
      </c>
      <c r="D51" s="84">
        <v>63940</v>
      </c>
      <c r="E51" s="113">
        <v>74359</v>
      </c>
      <c r="AB51" s="119" t="s">
        <v>12</v>
      </c>
      <c r="AC51" s="77">
        <f t="shared" si="52"/>
        <v>49447.839999999997</v>
      </c>
      <c r="AD51" s="77">
        <f t="shared" si="52"/>
        <v>41009.160000000003</v>
      </c>
      <c r="AE51" s="77">
        <f t="shared" si="52"/>
        <v>34303.199999999997</v>
      </c>
      <c r="AF51" s="77"/>
    </row>
    <row r="52" spans="1:33" ht="15.75" thickBot="1" x14ac:dyDescent="0.3">
      <c r="A52" s="119" t="s">
        <v>13</v>
      </c>
      <c r="B52" s="84">
        <v>55060</v>
      </c>
      <c r="C52" s="84">
        <v>51416</v>
      </c>
      <c r="D52" s="84">
        <v>60269</v>
      </c>
      <c r="E52" s="84"/>
      <c r="AB52" s="139" t="s">
        <v>13</v>
      </c>
      <c r="AC52" s="43">
        <f t="shared" si="52"/>
        <v>57060.119999999995</v>
      </c>
      <c r="AD52" s="43">
        <f t="shared" si="52"/>
        <v>50660</v>
      </c>
      <c r="AE52" s="43">
        <f t="shared" si="52"/>
        <v>34189.64</v>
      </c>
      <c r="AF52" s="43"/>
    </row>
    <row r="53" spans="1:33" ht="16.5" thickTop="1" thickBot="1" x14ac:dyDescent="0.3">
      <c r="A53" s="128" t="s">
        <v>0</v>
      </c>
      <c r="B53" s="137">
        <v>657195</v>
      </c>
      <c r="C53" s="137">
        <v>719091</v>
      </c>
      <c r="D53" s="137">
        <v>766594</v>
      </c>
      <c r="E53" s="137">
        <v>73372</v>
      </c>
      <c r="AB53" s="138" t="s">
        <v>0</v>
      </c>
      <c r="AC53" s="170">
        <f>SUM(AC41:AC52)</f>
        <v>748843.32</v>
      </c>
      <c r="AD53" s="170">
        <f>SUM(AD41:AD52)</f>
        <v>667990.75999999989</v>
      </c>
      <c r="AE53" s="170">
        <f>SUM(AE41:AE52)</f>
        <v>485748.84000000014</v>
      </c>
      <c r="AF53" s="170">
        <f>SUM(AF41:AF52)</f>
        <v>552278.24000000011</v>
      </c>
    </row>
    <row r="54" spans="1:33" ht="15.75" thickTop="1" x14ac:dyDescent="0.25">
      <c r="A54" s="1" t="s">
        <v>14</v>
      </c>
      <c r="B54" s="1"/>
      <c r="C54" s="1"/>
      <c r="D54" s="1"/>
      <c r="E54" s="1"/>
      <c r="F54" s="1"/>
    </row>
    <row r="55" spans="1:33" ht="15.75" thickBot="1" x14ac:dyDescent="0.3"/>
    <row r="56" spans="1:33" ht="17.25" thickTop="1" thickBot="1" x14ac:dyDescent="0.3">
      <c r="A56" s="140" t="s">
        <v>79</v>
      </c>
      <c r="B56" s="141"/>
      <c r="C56" s="141"/>
      <c r="D56" s="141"/>
      <c r="E56" s="141"/>
      <c r="J56" s="140" t="s">
        <v>196</v>
      </c>
      <c r="K56" s="141"/>
      <c r="L56" s="141"/>
      <c r="M56" s="141"/>
      <c r="N56" s="141"/>
      <c r="O56" s="142"/>
      <c r="S56" s="149" t="s">
        <v>172</v>
      </c>
      <c r="T56" s="164"/>
      <c r="U56" s="164"/>
      <c r="V56" s="164"/>
      <c r="W56" s="164"/>
      <c r="X56" s="150"/>
      <c r="Y56" s="148"/>
      <c r="Z56" s="148"/>
      <c r="AC56" s="140" t="s">
        <v>245</v>
      </c>
      <c r="AD56" s="141"/>
      <c r="AE56" s="141"/>
      <c r="AF56" s="141"/>
      <c r="AG56" s="141"/>
    </row>
    <row r="57" spans="1:33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  <c r="J57" s="124"/>
      <c r="K57" s="125">
        <v>2014</v>
      </c>
      <c r="L57" s="125">
        <v>2015</v>
      </c>
      <c r="M57" s="125">
        <v>2016</v>
      </c>
      <c r="N57" s="125">
        <v>2017</v>
      </c>
      <c r="O57" s="126" t="s">
        <v>1</v>
      </c>
      <c r="P57" s="117" t="s">
        <v>18</v>
      </c>
      <c r="Q57" s="117" t="s">
        <v>17</v>
      </c>
      <c r="S57" s="151"/>
      <c r="T57" s="147">
        <v>2014</v>
      </c>
      <c r="U57" s="147">
        <v>2015</v>
      </c>
      <c r="V57" s="147">
        <v>2016</v>
      </c>
      <c r="W57" s="147">
        <v>2017</v>
      </c>
      <c r="X57" s="152" t="s">
        <v>1</v>
      </c>
      <c r="Y57" s="165" t="s">
        <v>18</v>
      </c>
      <c r="Z57" s="165" t="s">
        <v>17</v>
      </c>
      <c r="AC57" s="124"/>
      <c r="AD57" s="125">
        <v>2014</v>
      </c>
      <c r="AE57" s="125">
        <v>2015</v>
      </c>
      <c r="AF57" s="125">
        <v>2016</v>
      </c>
      <c r="AG57" s="125">
        <v>2017</v>
      </c>
    </row>
    <row r="58" spans="1:33" x14ac:dyDescent="0.25">
      <c r="A58" s="119" t="s">
        <v>2</v>
      </c>
      <c r="B58" s="84">
        <f t="shared" ref="B58:E69" si="53">B22+B41</f>
        <v>77675</v>
      </c>
      <c r="C58" s="84">
        <f t="shared" si="53"/>
        <v>79781</v>
      </c>
      <c r="D58" s="84">
        <f t="shared" si="53"/>
        <v>78127</v>
      </c>
      <c r="E58" s="84">
        <f t="shared" si="53"/>
        <v>79489</v>
      </c>
      <c r="J58" s="119" t="s">
        <v>2</v>
      </c>
      <c r="K58" s="134">
        <f>B74+B91+B127</f>
        <v>45222</v>
      </c>
      <c r="L58" s="134">
        <f t="shared" ref="L58:N69" si="54">C74+C91+C127</f>
        <v>45900</v>
      </c>
      <c r="M58" s="134">
        <f t="shared" si="54"/>
        <v>45078</v>
      </c>
      <c r="N58" s="134">
        <f t="shared" si="54"/>
        <v>42597</v>
      </c>
      <c r="O58" s="127">
        <f t="shared" ref="O58:O69" si="55">AVERAGE(K58:N58)</f>
        <v>44699.25</v>
      </c>
      <c r="P58" s="127">
        <f t="shared" ref="P58:P69" si="56">STDEVA(K58:N58)</f>
        <v>1446.602312316692</v>
      </c>
      <c r="Q58" s="127">
        <f t="shared" ref="Q58:Q69" si="57">STDEVA(K58:N58)</f>
        <v>1446.602312316692</v>
      </c>
      <c r="S58" s="153" t="s">
        <v>2</v>
      </c>
      <c r="T58" s="77">
        <f>(B108+B144)-K58</f>
        <v>12215.720000000001</v>
      </c>
      <c r="U58" s="77">
        <f t="shared" ref="U58:W69" si="58">(C108+C144)-L58</f>
        <v>11907.199999999997</v>
      </c>
      <c r="V58" s="77">
        <f t="shared" si="58"/>
        <v>22507.039999999994</v>
      </c>
      <c r="W58" s="77">
        <f t="shared" si="58"/>
        <v>14752.800000000003</v>
      </c>
      <c r="X58" s="166">
        <f t="shared" ref="X58:X69" si="59">AVERAGE(T58:W58)</f>
        <v>15345.689999999999</v>
      </c>
      <c r="Y58" s="167">
        <f t="shared" ref="Y58:Y69" si="60">MAX(T58:W58)</f>
        <v>22507.039999999994</v>
      </c>
      <c r="Z58" s="167">
        <f t="shared" ref="Z58:Z69" si="61">MIN(T58:W58)</f>
        <v>11907.199999999997</v>
      </c>
      <c r="AC58" s="119" t="s">
        <v>2</v>
      </c>
      <c r="AD58" s="77">
        <f>-1*T58</f>
        <v>-12215.720000000001</v>
      </c>
      <c r="AE58" s="77">
        <f t="shared" ref="AE58:AG69" si="62">-1*U58</f>
        <v>-11907.199999999997</v>
      </c>
      <c r="AF58" s="77">
        <f t="shared" si="62"/>
        <v>-22507.039999999994</v>
      </c>
      <c r="AG58" s="77">
        <f t="shared" si="62"/>
        <v>-14752.800000000003</v>
      </c>
    </row>
    <row r="59" spans="1:33" x14ac:dyDescent="0.25">
      <c r="A59" s="119" t="s">
        <v>3</v>
      </c>
      <c r="B59" s="84">
        <f t="shared" si="53"/>
        <v>75564</v>
      </c>
      <c r="C59" s="84">
        <f t="shared" si="53"/>
        <v>77700</v>
      </c>
      <c r="D59" s="84">
        <f t="shared" si="53"/>
        <v>81867</v>
      </c>
      <c r="E59" s="84">
        <f t="shared" si="53"/>
        <v>79676</v>
      </c>
      <c r="J59" s="119" t="s">
        <v>3</v>
      </c>
      <c r="K59" s="134">
        <f t="shared" ref="K59:K69" si="63">B75+B92+B128</f>
        <v>41349</v>
      </c>
      <c r="L59" s="134">
        <f t="shared" si="54"/>
        <v>41112</v>
      </c>
      <c r="M59" s="134">
        <f t="shared" si="54"/>
        <v>47076</v>
      </c>
      <c r="N59" s="134">
        <f t="shared" si="54"/>
        <v>41883</v>
      </c>
      <c r="O59" s="127">
        <f t="shared" si="55"/>
        <v>42855</v>
      </c>
      <c r="P59" s="127">
        <f t="shared" si="56"/>
        <v>2832.4141646305893</v>
      </c>
      <c r="Q59" s="127">
        <f t="shared" si="57"/>
        <v>2832.4141646305893</v>
      </c>
      <c r="S59" s="153" t="s">
        <v>3</v>
      </c>
      <c r="T59" s="77">
        <f t="shared" ref="T59:T69" si="64">(B109+B145)-K59</f>
        <v>10388.080000000002</v>
      </c>
      <c r="U59" s="77">
        <f t="shared" si="58"/>
        <v>7927.239999999998</v>
      </c>
      <c r="V59" s="77">
        <f t="shared" si="58"/>
        <v>7916.9199999999983</v>
      </c>
      <c r="W59" s="77">
        <f t="shared" si="58"/>
        <v>8842.239999999998</v>
      </c>
      <c r="X59" s="166">
        <f t="shared" si="59"/>
        <v>8768.619999999999</v>
      </c>
      <c r="Y59" s="167">
        <f t="shared" si="60"/>
        <v>10388.080000000002</v>
      </c>
      <c r="Z59" s="167">
        <f t="shared" si="61"/>
        <v>7916.9199999999983</v>
      </c>
      <c r="AC59" s="119" t="s">
        <v>3</v>
      </c>
      <c r="AD59" s="77">
        <f t="shared" ref="AD59:AD69" si="65">-1*T59</f>
        <v>-10388.080000000002</v>
      </c>
      <c r="AE59" s="77">
        <f t="shared" si="62"/>
        <v>-7927.239999999998</v>
      </c>
      <c r="AF59" s="77">
        <f t="shared" si="62"/>
        <v>-7916.9199999999983</v>
      </c>
      <c r="AG59" s="77">
        <f t="shared" si="62"/>
        <v>-8842.239999999998</v>
      </c>
    </row>
    <row r="60" spans="1:33" x14ac:dyDescent="0.25">
      <c r="A60" s="119" t="s">
        <v>4</v>
      </c>
      <c r="B60" s="84">
        <f t="shared" si="53"/>
        <v>86589</v>
      </c>
      <c r="C60" s="84">
        <f t="shared" si="53"/>
        <v>93936</v>
      </c>
      <c r="D60" s="84">
        <f t="shared" si="53"/>
        <v>91898</v>
      </c>
      <c r="E60" s="84">
        <f t="shared" si="53"/>
        <v>100240</v>
      </c>
      <c r="J60" s="119" t="s">
        <v>4</v>
      </c>
      <c r="K60" s="134">
        <f t="shared" si="63"/>
        <v>53766</v>
      </c>
      <c r="L60" s="134">
        <f t="shared" si="54"/>
        <v>49776</v>
      </c>
      <c r="M60" s="134">
        <f t="shared" si="54"/>
        <v>53469</v>
      </c>
      <c r="N60" s="134">
        <f t="shared" si="54"/>
        <v>50247</v>
      </c>
      <c r="O60" s="127">
        <f t="shared" si="55"/>
        <v>51814.5</v>
      </c>
      <c r="P60" s="127">
        <f t="shared" si="56"/>
        <v>2094.2986892991171</v>
      </c>
      <c r="Q60" s="127">
        <f t="shared" si="57"/>
        <v>2094.2986892991171</v>
      </c>
      <c r="S60" s="153" t="s">
        <v>4</v>
      </c>
      <c r="T60" s="77">
        <f t="shared" si="64"/>
        <v>2940.7599999999948</v>
      </c>
      <c r="U60" s="77">
        <f t="shared" si="58"/>
        <v>4295.9199999999983</v>
      </c>
      <c r="V60" s="77">
        <f t="shared" si="58"/>
        <v>9344.9199999999983</v>
      </c>
      <c r="W60" s="77">
        <f t="shared" si="58"/>
        <v>8016.4799999999959</v>
      </c>
      <c r="X60" s="166">
        <f t="shared" si="59"/>
        <v>6149.5199999999968</v>
      </c>
      <c r="Y60" s="167">
        <f t="shared" si="60"/>
        <v>9344.9199999999983</v>
      </c>
      <c r="Z60" s="167">
        <f t="shared" si="61"/>
        <v>2940.7599999999948</v>
      </c>
      <c r="AC60" s="119" t="s">
        <v>4</v>
      </c>
      <c r="AD60" s="77">
        <f t="shared" si="65"/>
        <v>-2940.7599999999948</v>
      </c>
      <c r="AE60" s="77">
        <f t="shared" si="62"/>
        <v>-4295.9199999999983</v>
      </c>
      <c r="AF60" s="77">
        <f t="shared" si="62"/>
        <v>-9344.9199999999983</v>
      </c>
      <c r="AG60" s="77">
        <f t="shared" si="62"/>
        <v>-8016.4799999999959</v>
      </c>
    </row>
    <row r="61" spans="1:33" x14ac:dyDescent="0.25">
      <c r="A61" s="119" t="s">
        <v>5</v>
      </c>
      <c r="B61" s="84">
        <f t="shared" si="53"/>
        <v>92460</v>
      </c>
      <c r="C61" s="84">
        <f t="shared" si="53"/>
        <v>88667</v>
      </c>
      <c r="D61" s="84">
        <f t="shared" si="53"/>
        <v>87193</v>
      </c>
      <c r="E61" s="84">
        <f t="shared" si="53"/>
        <v>90259</v>
      </c>
      <c r="J61" s="119" t="s">
        <v>5</v>
      </c>
      <c r="K61" s="134">
        <f t="shared" si="63"/>
        <v>77898</v>
      </c>
      <c r="L61" s="134">
        <f t="shared" si="54"/>
        <v>80082</v>
      </c>
      <c r="M61" s="134">
        <f t="shared" si="54"/>
        <v>91296</v>
      </c>
      <c r="N61" s="134">
        <f t="shared" si="54"/>
        <v>97230</v>
      </c>
      <c r="O61" s="127">
        <f t="shared" si="55"/>
        <v>86626.5</v>
      </c>
      <c r="P61" s="127">
        <f t="shared" si="56"/>
        <v>9187.9565192702121</v>
      </c>
      <c r="Q61" s="127">
        <f t="shared" si="57"/>
        <v>9187.9565192702121</v>
      </c>
      <c r="S61" s="153" t="s">
        <v>5</v>
      </c>
      <c r="T61" s="77">
        <f t="shared" si="64"/>
        <v>25798.119999999995</v>
      </c>
      <c r="U61" s="77">
        <f t="shared" si="58"/>
        <v>37584.160000000003</v>
      </c>
      <c r="V61" s="77">
        <f t="shared" si="58"/>
        <v>47863.51999999999</v>
      </c>
      <c r="W61" s="77">
        <f t="shared" si="58"/>
        <v>29085.239999999991</v>
      </c>
      <c r="X61" s="166">
        <f t="shared" si="59"/>
        <v>35082.759999999995</v>
      </c>
      <c r="Y61" s="167">
        <f t="shared" si="60"/>
        <v>47863.51999999999</v>
      </c>
      <c r="Z61" s="167">
        <f t="shared" si="61"/>
        <v>25798.119999999995</v>
      </c>
      <c r="AC61" s="119" t="s">
        <v>5</v>
      </c>
      <c r="AD61" s="77">
        <f t="shared" si="65"/>
        <v>-25798.119999999995</v>
      </c>
      <c r="AE61" s="77">
        <f t="shared" si="62"/>
        <v>-37584.160000000003</v>
      </c>
      <c r="AF61" s="77">
        <f t="shared" si="62"/>
        <v>-47863.51999999999</v>
      </c>
      <c r="AG61" s="77">
        <f t="shared" si="62"/>
        <v>-29085.239999999991</v>
      </c>
    </row>
    <row r="62" spans="1:33" x14ac:dyDescent="0.25">
      <c r="A62" s="119" t="s">
        <v>6</v>
      </c>
      <c r="B62" s="84">
        <f t="shared" si="53"/>
        <v>89180</v>
      </c>
      <c r="C62" s="84">
        <f t="shared" si="53"/>
        <v>82768</v>
      </c>
      <c r="D62" s="84">
        <f t="shared" si="53"/>
        <v>87112</v>
      </c>
      <c r="E62" s="84">
        <f t="shared" si="53"/>
        <v>93466</v>
      </c>
      <c r="J62" s="119" t="s">
        <v>6</v>
      </c>
      <c r="K62" s="134">
        <f t="shared" si="63"/>
        <v>114768</v>
      </c>
      <c r="L62" s="134">
        <f t="shared" si="54"/>
        <v>127116</v>
      </c>
      <c r="M62" s="134">
        <f t="shared" si="54"/>
        <v>109779</v>
      </c>
      <c r="N62" s="134">
        <f t="shared" si="54"/>
        <v>109209</v>
      </c>
      <c r="O62" s="127">
        <f t="shared" si="55"/>
        <v>115218</v>
      </c>
      <c r="P62" s="127">
        <f t="shared" si="56"/>
        <v>8315.7622621140399</v>
      </c>
      <c r="Q62" s="127">
        <f t="shared" si="57"/>
        <v>8315.7622621140399</v>
      </c>
      <c r="S62" s="153" t="s">
        <v>6</v>
      </c>
      <c r="T62" s="77">
        <f t="shared" si="64"/>
        <v>10010.199999999997</v>
      </c>
      <c r="U62" s="77">
        <f t="shared" si="58"/>
        <v>18660.28</v>
      </c>
      <c r="V62" s="77">
        <f t="shared" si="58"/>
        <v>20819.599999999991</v>
      </c>
      <c r="W62" s="77">
        <f t="shared" si="58"/>
        <v>23862.239999999991</v>
      </c>
      <c r="X62" s="166">
        <f t="shared" si="59"/>
        <v>18338.079999999994</v>
      </c>
      <c r="Y62" s="167">
        <f t="shared" si="60"/>
        <v>23862.239999999991</v>
      </c>
      <c r="Z62" s="167">
        <f t="shared" si="61"/>
        <v>10010.199999999997</v>
      </c>
      <c r="AC62" s="119" t="s">
        <v>6</v>
      </c>
      <c r="AD62" s="77">
        <f t="shared" si="65"/>
        <v>-10010.199999999997</v>
      </c>
      <c r="AE62" s="77">
        <f t="shared" si="62"/>
        <v>-18660.28</v>
      </c>
      <c r="AF62" s="77">
        <f t="shared" si="62"/>
        <v>-20819.599999999991</v>
      </c>
      <c r="AG62" s="77">
        <f t="shared" si="62"/>
        <v>-23862.239999999991</v>
      </c>
    </row>
    <row r="63" spans="1:33" x14ac:dyDescent="0.25">
      <c r="A63" s="119" t="s">
        <v>7</v>
      </c>
      <c r="B63" s="84">
        <f t="shared" si="53"/>
        <v>94793</v>
      </c>
      <c r="C63" s="84">
        <f t="shared" si="53"/>
        <v>94709</v>
      </c>
      <c r="D63" s="84">
        <f t="shared" si="53"/>
        <v>89587</v>
      </c>
      <c r="E63" s="84">
        <f t="shared" si="53"/>
        <v>94766</v>
      </c>
      <c r="J63" s="119" t="s">
        <v>7</v>
      </c>
      <c r="K63" s="134">
        <f t="shared" si="63"/>
        <v>135321</v>
      </c>
      <c r="L63" s="134">
        <f t="shared" si="54"/>
        <v>121038</v>
      </c>
      <c r="M63" s="134">
        <f t="shared" si="54"/>
        <v>124065</v>
      </c>
      <c r="N63" s="134">
        <f t="shared" si="54"/>
        <v>141090</v>
      </c>
      <c r="O63" s="127">
        <f t="shared" si="55"/>
        <v>130378.5</v>
      </c>
      <c r="P63" s="127">
        <f t="shared" si="56"/>
        <v>9421.0714358824389</v>
      </c>
      <c r="Q63" s="127">
        <f t="shared" si="57"/>
        <v>9421.0714358824389</v>
      </c>
      <c r="S63" s="153" t="s">
        <v>7</v>
      </c>
      <c r="T63" s="77">
        <f t="shared" si="64"/>
        <v>3271.1199999999953</v>
      </c>
      <c r="U63" s="77">
        <f t="shared" si="58"/>
        <v>28633.799999999988</v>
      </c>
      <c r="V63" s="77">
        <f t="shared" si="58"/>
        <v>69281.320000000007</v>
      </c>
      <c r="W63" s="77">
        <f t="shared" si="58"/>
        <v>26880.959999999992</v>
      </c>
      <c r="X63" s="166">
        <f t="shared" si="59"/>
        <v>32016.799999999996</v>
      </c>
      <c r="Y63" s="167">
        <f t="shared" si="60"/>
        <v>69281.320000000007</v>
      </c>
      <c r="Z63" s="167">
        <f t="shared" si="61"/>
        <v>3271.1199999999953</v>
      </c>
      <c r="AC63" s="119" t="s">
        <v>7</v>
      </c>
      <c r="AD63" s="77">
        <f t="shared" si="65"/>
        <v>-3271.1199999999953</v>
      </c>
      <c r="AE63" s="77">
        <f t="shared" si="62"/>
        <v>-28633.799999999988</v>
      </c>
      <c r="AF63" s="77">
        <f t="shared" si="62"/>
        <v>-69281.320000000007</v>
      </c>
      <c r="AG63" s="77">
        <f t="shared" si="62"/>
        <v>-26880.959999999992</v>
      </c>
    </row>
    <row r="64" spans="1:33" x14ac:dyDescent="0.25">
      <c r="A64" s="119" t="s">
        <v>8</v>
      </c>
      <c r="B64" s="84">
        <f t="shared" si="53"/>
        <v>94228</v>
      </c>
      <c r="C64" s="84">
        <f t="shared" si="53"/>
        <v>94092</v>
      </c>
      <c r="D64" s="84">
        <f t="shared" si="53"/>
        <v>87781</v>
      </c>
      <c r="E64" s="84">
        <f t="shared" si="53"/>
        <v>90145</v>
      </c>
      <c r="J64" s="119" t="s">
        <v>8</v>
      </c>
      <c r="K64" s="134">
        <f t="shared" si="63"/>
        <v>175851</v>
      </c>
      <c r="L64" s="134">
        <f t="shared" si="54"/>
        <v>164436</v>
      </c>
      <c r="M64" s="134">
        <f t="shared" si="54"/>
        <v>205656</v>
      </c>
      <c r="N64" s="134">
        <f t="shared" si="54"/>
        <v>195273</v>
      </c>
      <c r="O64" s="127">
        <f t="shared" si="55"/>
        <v>185304</v>
      </c>
      <c r="P64" s="127">
        <f t="shared" si="56"/>
        <v>18604.815666918068</v>
      </c>
      <c r="Q64" s="127">
        <f t="shared" si="57"/>
        <v>18604.815666918068</v>
      </c>
      <c r="S64" s="153" t="s">
        <v>8</v>
      </c>
      <c r="T64" s="77">
        <f t="shared" si="64"/>
        <v>-1760.1600000000035</v>
      </c>
      <c r="U64" s="77">
        <f t="shared" si="58"/>
        <v>-5213.8399999999965</v>
      </c>
      <c r="V64" s="77">
        <f t="shared" si="58"/>
        <v>51131.880000000005</v>
      </c>
      <c r="W64" s="77">
        <f t="shared" si="58"/>
        <v>15326.039999999979</v>
      </c>
      <c r="X64" s="166">
        <f t="shared" si="59"/>
        <v>14870.979999999996</v>
      </c>
      <c r="Y64" s="167">
        <f t="shared" si="60"/>
        <v>51131.880000000005</v>
      </c>
      <c r="Z64" s="167">
        <f t="shared" si="61"/>
        <v>-5213.8399999999965</v>
      </c>
      <c r="AC64" s="119" t="s">
        <v>8</v>
      </c>
      <c r="AD64" s="77">
        <f t="shared" si="65"/>
        <v>1760.1600000000035</v>
      </c>
      <c r="AE64" s="77">
        <f t="shared" si="62"/>
        <v>5213.8399999999965</v>
      </c>
      <c r="AF64" s="77">
        <f t="shared" si="62"/>
        <v>-51131.880000000005</v>
      </c>
      <c r="AG64" s="77">
        <f t="shared" si="62"/>
        <v>-15326.039999999979</v>
      </c>
    </row>
    <row r="65" spans="1:33" x14ac:dyDescent="0.25">
      <c r="A65" s="119" t="s">
        <v>9</v>
      </c>
      <c r="B65" s="84">
        <f t="shared" si="53"/>
        <v>75574</v>
      </c>
      <c r="C65" s="84">
        <f t="shared" si="53"/>
        <v>78351</v>
      </c>
      <c r="D65" s="84">
        <f t="shared" si="53"/>
        <v>83626</v>
      </c>
      <c r="E65" s="84">
        <f t="shared" si="53"/>
        <v>84738</v>
      </c>
      <c r="J65" s="119" t="s">
        <v>9</v>
      </c>
      <c r="K65" s="134">
        <f t="shared" si="63"/>
        <v>244302</v>
      </c>
      <c r="L65" s="134">
        <f t="shared" si="54"/>
        <v>206820</v>
      </c>
      <c r="M65" s="134">
        <f t="shared" si="54"/>
        <v>228357</v>
      </c>
      <c r="N65" s="134">
        <f t="shared" si="54"/>
        <v>244989</v>
      </c>
      <c r="O65" s="127">
        <f t="shared" si="55"/>
        <v>231117</v>
      </c>
      <c r="P65" s="127">
        <f t="shared" si="56"/>
        <v>17927.989457828226</v>
      </c>
      <c r="Q65" s="127">
        <f t="shared" si="57"/>
        <v>17927.989457828226</v>
      </c>
      <c r="S65" s="153" t="s">
        <v>9</v>
      </c>
      <c r="T65" s="77">
        <f t="shared" si="64"/>
        <v>-65010.520000000019</v>
      </c>
      <c r="U65" s="77">
        <f t="shared" si="58"/>
        <v>-49044.119999999995</v>
      </c>
      <c r="V65" s="77">
        <f t="shared" si="58"/>
        <v>-9784.4800000000105</v>
      </c>
      <c r="W65" s="77">
        <f t="shared" si="58"/>
        <v>-40058.880000000005</v>
      </c>
      <c r="X65" s="166">
        <f t="shared" si="59"/>
        <v>-40974.500000000007</v>
      </c>
      <c r="Y65" s="167">
        <f t="shared" si="60"/>
        <v>-9784.4800000000105</v>
      </c>
      <c r="Z65" s="167">
        <f t="shared" si="61"/>
        <v>-65010.520000000019</v>
      </c>
      <c r="AC65" s="119" t="s">
        <v>9</v>
      </c>
      <c r="AD65" s="77">
        <f t="shared" si="65"/>
        <v>65010.520000000019</v>
      </c>
      <c r="AE65" s="77">
        <f t="shared" si="62"/>
        <v>49044.119999999995</v>
      </c>
      <c r="AF65" s="77">
        <f t="shared" si="62"/>
        <v>9784.4800000000105</v>
      </c>
      <c r="AG65" s="77">
        <f t="shared" si="62"/>
        <v>40058.880000000005</v>
      </c>
    </row>
    <row r="66" spans="1:33" x14ac:dyDescent="0.25">
      <c r="A66" s="119" t="s">
        <v>10</v>
      </c>
      <c r="B66" s="84">
        <f t="shared" si="53"/>
        <v>81012</v>
      </c>
      <c r="C66" s="84">
        <f t="shared" si="53"/>
        <v>83235</v>
      </c>
      <c r="D66" s="84">
        <f t="shared" si="53"/>
        <v>81408</v>
      </c>
      <c r="E66" s="84">
        <f t="shared" si="53"/>
        <v>81061</v>
      </c>
      <c r="J66" s="119" t="s">
        <v>10</v>
      </c>
      <c r="K66" s="134">
        <f t="shared" si="63"/>
        <v>145122</v>
      </c>
      <c r="L66" s="134">
        <f t="shared" si="54"/>
        <v>147345</v>
      </c>
      <c r="M66" s="134">
        <f t="shared" si="54"/>
        <v>147588</v>
      </c>
      <c r="N66" s="134">
        <f t="shared" si="54"/>
        <v>160515</v>
      </c>
      <c r="O66" s="127">
        <f t="shared" si="55"/>
        <v>150142.5</v>
      </c>
      <c r="P66" s="127">
        <f t="shared" si="56"/>
        <v>7003.4670699589924</v>
      </c>
      <c r="Q66" s="127">
        <f t="shared" si="57"/>
        <v>7003.4670699589924</v>
      </c>
      <c r="S66" s="153" t="s">
        <v>10</v>
      </c>
      <c r="T66" s="77">
        <f t="shared" si="64"/>
        <v>-4642.2000000000116</v>
      </c>
      <c r="U66" s="77">
        <f t="shared" si="58"/>
        <v>1395.1600000000035</v>
      </c>
      <c r="V66" s="77">
        <f t="shared" si="58"/>
        <v>4273.2399999999907</v>
      </c>
      <c r="W66" s="77">
        <f t="shared" si="58"/>
        <v>734.03999999997905</v>
      </c>
      <c r="X66" s="166">
        <f t="shared" si="59"/>
        <v>440.0599999999904</v>
      </c>
      <c r="Y66" s="167">
        <f t="shared" si="60"/>
        <v>4273.2399999999907</v>
      </c>
      <c r="Z66" s="167">
        <f t="shared" si="61"/>
        <v>-4642.2000000000116</v>
      </c>
      <c r="AC66" s="119" t="s">
        <v>10</v>
      </c>
      <c r="AD66" s="77">
        <f t="shared" si="65"/>
        <v>4642.2000000000116</v>
      </c>
      <c r="AE66" s="77">
        <f t="shared" si="62"/>
        <v>-1395.1600000000035</v>
      </c>
      <c r="AF66" s="77">
        <f t="shared" si="62"/>
        <v>-4273.2399999999907</v>
      </c>
      <c r="AG66" s="77">
        <f t="shared" si="62"/>
        <v>-734.03999999997905</v>
      </c>
    </row>
    <row r="67" spans="1:33" x14ac:dyDescent="0.25">
      <c r="A67" s="119" t="s">
        <v>11</v>
      </c>
      <c r="B67" s="84">
        <f t="shared" si="53"/>
        <v>85891</v>
      </c>
      <c r="C67" s="84">
        <f t="shared" si="53"/>
        <v>80556</v>
      </c>
      <c r="D67" s="84">
        <f t="shared" si="53"/>
        <v>78970</v>
      </c>
      <c r="E67" s="84">
        <f t="shared" si="53"/>
        <v>87996</v>
      </c>
      <c r="J67" s="119" t="s">
        <v>11</v>
      </c>
      <c r="K67" s="134">
        <f t="shared" si="63"/>
        <v>93816</v>
      </c>
      <c r="L67" s="134">
        <f t="shared" si="54"/>
        <v>103254</v>
      </c>
      <c r="M67" s="134">
        <f t="shared" si="54"/>
        <v>94245</v>
      </c>
      <c r="N67" s="134">
        <f t="shared" si="54"/>
        <v>93042</v>
      </c>
      <c r="O67" s="127">
        <f t="shared" si="55"/>
        <v>96089.25</v>
      </c>
      <c r="P67" s="127">
        <f t="shared" si="56"/>
        <v>4802.3708988373646</v>
      </c>
      <c r="Q67" s="127">
        <f t="shared" si="57"/>
        <v>4802.3708988373646</v>
      </c>
      <c r="S67" s="153" t="s">
        <v>11</v>
      </c>
      <c r="T67" s="77">
        <f t="shared" si="64"/>
        <v>10479.839999999997</v>
      </c>
      <c r="U67" s="77">
        <f t="shared" si="58"/>
        <v>17810.319999999992</v>
      </c>
      <c r="V67" s="77">
        <f t="shared" si="58"/>
        <v>8719.5199999999895</v>
      </c>
      <c r="W67" s="77">
        <f t="shared" si="58"/>
        <v>23187.319999999992</v>
      </c>
      <c r="X67" s="166">
        <f t="shared" si="59"/>
        <v>15049.249999999993</v>
      </c>
      <c r="Y67" s="167">
        <f t="shared" si="60"/>
        <v>23187.319999999992</v>
      </c>
      <c r="Z67" s="167">
        <f t="shared" si="61"/>
        <v>8719.5199999999895</v>
      </c>
      <c r="AC67" s="119" t="s">
        <v>11</v>
      </c>
      <c r="AD67" s="77">
        <f t="shared" si="65"/>
        <v>-10479.839999999997</v>
      </c>
      <c r="AE67" s="77">
        <f t="shared" si="62"/>
        <v>-17810.319999999992</v>
      </c>
      <c r="AF67" s="77">
        <f t="shared" si="62"/>
        <v>-8719.5199999999895</v>
      </c>
      <c r="AG67" s="77">
        <f t="shared" si="62"/>
        <v>-23187.319999999992</v>
      </c>
    </row>
    <row r="68" spans="1:33" x14ac:dyDescent="0.25">
      <c r="A68" s="119" t="s">
        <v>12</v>
      </c>
      <c r="B68" s="84">
        <f t="shared" si="53"/>
        <v>80312</v>
      </c>
      <c r="C68" s="84">
        <f t="shared" si="53"/>
        <v>81578</v>
      </c>
      <c r="D68" s="84">
        <f t="shared" si="53"/>
        <v>84818</v>
      </c>
      <c r="E68" s="84"/>
      <c r="J68" s="119" t="s">
        <v>12</v>
      </c>
      <c r="K68" s="134">
        <f t="shared" si="63"/>
        <v>48213</v>
      </c>
      <c r="L68" s="134">
        <f t="shared" si="54"/>
        <v>46422</v>
      </c>
      <c r="M68" s="134">
        <f t="shared" si="54"/>
        <v>46842</v>
      </c>
      <c r="N68" s="134">
        <f t="shared" si="54"/>
        <v>0</v>
      </c>
      <c r="O68" s="127">
        <f t="shared" si="55"/>
        <v>35369.25</v>
      </c>
      <c r="P68" s="127">
        <f t="shared" si="56"/>
        <v>23591.898572391328</v>
      </c>
      <c r="Q68" s="127">
        <f t="shared" si="57"/>
        <v>23591.898572391328</v>
      </c>
      <c r="S68" s="153" t="s">
        <v>12</v>
      </c>
      <c r="T68" s="77">
        <f t="shared" si="64"/>
        <v>2321.3600000000006</v>
      </c>
      <c r="U68" s="77">
        <f t="shared" si="58"/>
        <v>11561.64</v>
      </c>
      <c r="V68" s="77">
        <f t="shared" si="58"/>
        <v>24352.800000000003</v>
      </c>
      <c r="W68" s="77">
        <f t="shared" si="58"/>
        <v>0</v>
      </c>
      <c r="X68" s="166">
        <f t="shared" si="59"/>
        <v>9558.9500000000007</v>
      </c>
      <c r="Y68" s="167">
        <f t="shared" si="60"/>
        <v>24352.800000000003</v>
      </c>
      <c r="Z68" s="167">
        <f t="shared" si="61"/>
        <v>0</v>
      </c>
      <c r="AC68" s="119" t="s">
        <v>12</v>
      </c>
      <c r="AD68" s="77">
        <f t="shared" si="65"/>
        <v>-2321.3600000000006</v>
      </c>
      <c r="AE68" s="77">
        <f t="shared" si="62"/>
        <v>-11561.64</v>
      </c>
      <c r="AF68" s="77">
        <f t="shared" si="62"/>
        <v>-24352.800000000003</v>
      </c>
      <c r="AG68" s="77">
        <f t="shared" si="62"/>
        <v>0</v>
      </c>
    </row>
    <row r="69" spans="1:33" ht="15.75" thickBot="1" x14ac:dyDescent="0.3">
      <c r="A69" s="119" t="s">
        <v>13</v>
      </c>
      <c r="B69" s="84">
        <f t="shared" si="53"/>
        <v>78304</v>
      </c>
      <c r="C69" s="84">
        <f t="shared" si="53"/>
        <v>77193</v>
      </c>
      <c r="D69" s="84">
        <f t="shared" si="53"/>
        <v>77727</v>
      </c>
      <c r="E69" s="84"/>
      <c r="J69" s="119" t="s">
        <v>13</v>
      </c>
      <c r="K69" s="134">
        <f t="shared" si="63"/>
        <v>60138</v>
      </c>
      <c r="L69" s="134">
        <f t="shared" si="54"/>
        <v>59451</v>
      </c>
      <c r="M69" s="134">
        <f t="shared" si="54"/>
        <v>56673</v>
      </c>
      <c r="N69" s="134">
        <f t="shared" si="54"/>
        <v>0</v>
      </c>
      <c r="O69" s="127">
        <f t="shared" si="55"/>
        <v>44065.5</v>
      </c>
      <c r="P69" s="127">
        <f t="shared" si="56"/>
        <v>29415.16736311388</v>
      </c>
      <c r="Q69" s="127">
        <f t="shared" si="57"/>
        <v>29415.16736311388</v>
      </c>
      <c r="S69" s="168" t="s">
        <v>13</v>
      </c>
      <c r="T69" s="43">
        <f t="shared" si="64"/>
        <v>-4928.5200000000041</v>
      </c>
      <c r="U69" s="43">
        <f t="shared" si="58"/>
        <v>756.19999999999709</v>
      </c>
      <c r="V69" s="43">
        <f t="shared" si="58"/>
        <v>18875.36</v>
      </c>
      <c r="W69" s="43">
        <f t="shared" si="58"/>
        <v>0</v>
      </c>
      <c r="X69" s="166">
        <f t="shared" si="59"/>
        <v>3675.7599999999984</v>
      </c>
      <c r="Y69" s="167">
        <f t="shared" si="60"/>
        <v>18875.36</v>
      </c>
      <c r="Z69" s="167">
        <f t="shared" si="61"/>
        <v>-4928.5200000000041</v>
      </c>
      <c r="AC69" s="139" t="s">
        <v>13</v>
      </c>
      <c r="AD69" s="77">
        <f t="shared" si="65"/>
        <v>4928.5200000000041</v>
      </c>
      <c r="AE69" s="77">
        <f t="shared" si="62"/>
        <v>-756.19999999999709</v>
      </c>
      <c r="AF69" s="77">
        <f t="shared" si="62"/>
        <v>-18875.36</v>
      </c>
      <c r="AG69" s="77">
        <f t="shared" si="62"/>
        <v>0</v>
      </c>
    </row>
    <row r="70" spans="1:33" ht="16.5" thickTop="1" thickBot="1" x14ac:dyDescent="0.3">
      <c r="A70" s="128" t="s">
        <v>0</v>
      </c>
      <c r="B70" s="137">
        <f>SUM(B58:B69)</f>
        <v>1011582</v>
      </c>
      <c r="C70" s="137">
        <f t="shared" ref="C70:D70" si="66">SUM(C58:C69)</f>
        <v>1012566</v>
      </c>
      <c r="D70" s="137">
        <f t="shared" si="66"/>
        <v>1010114</v>
      </c>
      <c r="E70" s="137">
        <f>SUM(E58:E69)</f>
        <v>881836</v>
      </c>
      <c r="J70" s="128" t="s">
        <v>0</v>
      </c>
      <c r="K70" s="129">
        <f t="shared" ref="K70:M70" si="67">SUM(K58:K69)</f>
        <v>1235766</v>
      </c>
      <c r="L70" s="129">
        <f t="shared" si="67"/>
        <v>1192752</v>
      </c>
      <c r="M70" s="129">
        <f t="shared" si="67"/>
        <v>1250124</v>
      </c>
      <c r="N70" s="129">
        <f>SUM(N58:N69)</f>
        <v>1176075</v>
      </c>
      <c r="S70" s="169" t="s">
        <v>0</v>
      </c>
      <c r="T70" s="170">
        <f>SUM(T58:T69)</f>
        <v>1083.7999999999447</v>
      </c>
      <c r="U70" s="170">
        <f>SUM(U58:U69)</f>
        <v>86273.959999999977</v>
      </c>
      <c r="V70" s="170">
        <f>SUM(V58:V69)</f>
        <v>275301.63999999996</v>
      </c>
      <c r="W70" s="170">
        <f>SUM(W58:W69)</f>
        <v>110628.47999999991</v>
      </c>
      <c r="X70" s="148"/>
      <c r="Y70" s="148"/>
      <c r="Z70" s="148"/>
      <c r="AC70" s="138" t="s">
        <v>0</v>
      </c>
      <c r="AD70" s="170">
        <f>SUM(AD58:AD69)</f>
        <v>-1083.7999999999447</v>
      </c>
      <c r="AE70" s="170">
        <f>SUM(AE58:AE69)</f>
        <v>-86273.959999999977</v>
      </c>
      <c r="AF70" s="170">
        <f>SUM(AF58:AF69)</f>
        <v>-275301.63999999996</v>
      </c>
      <c r="AG70" s="170">
        <f>SUM(AG58:AG69)</f>
        <v>-110628.47999999991</v>
      </c>
    </row>
    <row r="71" spans="1:33" ht="16.5" thickTop="1" thickBot="1" x14ac:dyDescent="0.3">
      <c r="J71" s="136" t="s">
        <v>14</v>
      </c>
      <c r="K71" s="136"/>
      <c r="L71" s="136"/>
      <c r="M71" s="136"/>
      <c r="N71" s="136"/>
      <c r="O71" s="136"/>
      <c r="P71" s="136"/>
      <c r="Q71" s="136"/>
    </row>
    <row r="72" spans="1:33" ht="17.25" thickTop="1" thickBot="1" x14ac:dyDescent="0.3">
      <c r="A72" s="140" t="s">
        <v>109</v>
      </c>
      <c r="B72" s="141"/>
      <c r="C72" s="141"/>
      <c r="D72" s="141"/>
      <c r="E72" s="141"/>
      <c r="F72" s="142"/>
      <c r="J72" s="140" t="s">
        <v>197</v>
      </c>
      <c r="K72" s="141"/>
      <c r="L72" s="141"/>
      <c r="M72" s="141"/>
      <c r="N72" s="141"/>
      <c r="O72" s="142"/>
      <c r="S72" s="149" t="s">
        <v>174</v>
      </c>
      <c r="T72" s="164"/>
      <c r="U72" s="164"/>
      <c r="V72" s="164"/>
      <c r="W72" s="164"/>
      <c r="X72" s="150"/>
      <c r="Y72" s="148"/>
      <c r="Z72" s="148"/>
      <c r="AC72" s="140" t="s">
        <v>244</v>
      </c>
      <c r="AD72" s="141"/>
      <c r="AE72" s="141"/>
      <c r="AF72" s="141"/>
      <c r="AG72" s="141"/>
    </row>
    <row r="73" spans="1:33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  <c r="J73" s="124"/>
      <c r="K73" s="125">
        <v>2014</v>
      </c>
      <c r="L73" s="125">
        <v>2015</v>
      </c>
      <c r="M73" s="125">
        <v>2016</v>
      </c>
      <c r="N73" s="125">
        <v>2017</v>
      </c>
      <c r="O73" s="126" t="s">
        <v>1</v>
      </c>
      <c r="P73" s="117" t="s">
        <v>18</v>
      </c>
      <c r="Q73" s="117" t="s">
        <v>17</v>
      </c>
      <c r="S73" s="151"/>
      <c r="T73" s="147">
        <v>2014</v>
      </c>
      <c r="U73" s="147">
        <v>2015</v>
      </c>
      <c r="V73" s="147">
        <v>2016</v>
      </c>
      <c r="W73" s="147">
        <v>2017</v>
      </c>
      <c r="X73" s="152" t="s">
        <v>1</v>
      </c>
      <c r="Y73" s="165" t="s">
        <v>18</v>
      </c>
      <c r="Z73" s="165" t="s">
        <v>17</v>
      </c>
      <c r="AC73" s="124"/>
      <c r="AD73" s="125">
        <v>2014</v>
      </c>
      <c r="AE73" s="125">
        <v>2015</v>
      </c>
      <c r="AF73" s="125">
        <v>2016</v>
      </c>
      <c r="AG73" s="125">
        <v>2017</v>
      </c>
    </row>
    <row r="74" spans="1:33" x14ac:dyDescent="0.25">
      <c r="A74" s="119" t="s">
        <v>2</v>
      </c>
      <c r="B74" s="134">
        <f>K107*Générale!$B$4</f>
        <v>30252</v>
      </c>
      <c r="C74" s="134">
        <f>L107*Générale!$B$4</f>
        <v>27696</v>
      </c>
      <c r="D74" s="134">
        <f>M107*Générale!$B$4</f>
        <v>26271</v>
      </c>
      <c r="E74" s="134">
        <f>N107*Générale!$B$4</f>
        <v>22434</v>
      </c>
      <c r="J74" s="119" t="s">
        <v>2</v>
      </c>
      <c r="K74" s="134">
        <f>B58</f>
        <v>77675</v>
      </c>
      <c r="L74" s="134">
        <f t="shared" ref="L74:N85" si="68">C58</f>
        <v>79781</v>
      </c>
      <c r="M74" s="134">
        <f t="shared" si="68"/>
        <v>78127</v>
      </c>
      <c r="N74" s="134">
        <f t="shared" si="68"/>
        <v>79489</v>
      </c>
      <c r="O74" s="127">
        <f t="shared" ref="O74:O85" si="69">AVERAGE(K74:N74)</f>
        <v>78768</v>
      </c>
      <c r="P74" s="127">
        <f t="shared" ref="P74:P85" si="70">STDEVA(K74:N74)</f>
        <v>1024.9455270078176</v>
      </c>
      <c r="Q74" s="127">
        <f t="shared" ref="Q74:Q85" si="71">STDEVA(K74:N74)</f>
        <v>1024.9455270078176</v>
      </c>
      <c r="S74" s="153" t="s">
        <v>2</v>
      </c>
      <c r="T74" s="77">
        <f>B3-K74</f>
        <v>-53157</v>
      </c>
      <c r="U74" s="77">
        <f t="shared" ref="U74:W85" si="72">C3-L74</f>
        <v>-59480.6</v>
      </c>
      <c r="V74" s="77">
        <f t="shared" si="72"/>
        <v>-54817.8</v>
      </c>
      <c r="W74" s="77">
        <f t="shared" si="72"/>
        <v>-58850.2</v>
      </c>
      <c r="X74" s="166">
        <f t="shared" ref="X74:X85" si="73">AVERAGE(T74:W74)</f>
        <v>-56576.400000000009</v>
      </c>
      <c r="Y74" s="167">
        <f t="shared" ref="Y74:Y85" si="74">MAX(T74:W74)</f>
        <v>-53157</v>
      </c>
      <c r="Z74" s="167">
        <f t="shared" ref="Z74:Z85" si="75">MIN(T74:W74)</f>
        <v>-59480.6</v>
      </c>
      <c r="AC74" s="119" t="s">
        <v>2</v>
      </c>
      <c r="AD74" s="77">
        <f>-1*T74</f>
        <v>53157</v>
      </c>
      <c r="AE74" s="77">
        <f t="shared" ref="AE74:AG85" si="76">-1*U74</f>
        <v>59480.6</v>
      </c>
      <c r="AF74" s="77">
        <f t="shared" si="76"/>
        <v>54817.8</v>
      </c>
      <c r="AG74" s="77">
        <f t="shared" si="76"/>
        <v>58850.2</v>
      </c>
    </row>
    <row r="75" spans="1:33" x14ac:dyDescent="0.25">
      <c r="A75" s="119" t="s">
        <v>3</v>
      </c>
      <c r="B75" s="134">
        <f>K108*Générale!$B$4</f>
        <v>23412</v>
      </c>
      <c r="C75" s="134">
        <f>L108*Générale!$B$4</f>
        <v>24804</v>
      </c>
      <c r="D75" s="134">
        <f>M108*Générale!$B$4</f>
        <v>27213</v>
      </c>
      <c r="E75" s="134">
        <f>N108*Générale!$B$4</f>
        <v>22842</v>
      </c>
      <c r="J75" s="119" t="s">
        <v>3</v>
      </c>
      <c r="K75" s="134">
        <f t="shared" ref="K75:K85" si="77">B59</f>
        <v>75564</v>
      </c>
      <c r="L75" s="134">
        <f t="shared" si="68"/>
        <v>77700</v>
      </c>
      <c r="M75" s="134">
        <f t="shared" si="68"/>
        <v>81867</v>
      </c>
      <c r="N75" s="134">
        <f t="shared" si="68"/>
        <v>79676</v>
      </c>
      <c r="O75" s="127">
        <f t="shared" si="69"/>
        <v>78701.75</v>
      </c>
      <c r="P75" s="127">
        <f t="shared" si="70"/>
        <v>2696.7232431230314</v>
      </c>
      <c r="Q75" s="127">
        <f t="shared" si="71"/>
        <v>2696.7232431230314</v>
      </c>
      <c r="S75" s="153" t="s">
        <v>3</v>
      </c>
      <c r="T75" s="77">
        <f t="shared" ref="T75:T85" si="78">B4-K75</f>
        <v>-49942.400000000001</v>
      </c>
      <c r="U75" s="77">
        <f t="shared" si="72"/>
        <v>-53754.8</v>
      </c>
      <c r="V75" s="77">
        <f t="shared" si="72"/>
        <v>-58115</v>
      </c>
      <c r="W75" s="77">
        <f t="shared" si="72"/>
        <v>-60662.400000000001</v>
      </c>
      <c r="X75" s="166">
        <f t="shared" si="73"/>
        <v>-55618.65</v>
      </c>
      <c r="Y75" s="167">
        <f t="shared" si="74"/>
        <v>-49942.400000000001</v>
      </c>
      <c r="Z75" s="167">
        <f t="shared" si="75"/>
        <v>-60662.400000000001</v>
      </c>
      <c r="AC75" s="119" t="s">
        <v>3</v>
      </c>
      <c r="AD75" s="77">
        <f t="shared" ref="AD75:AD85" si="79">-1*T75</f>
        <v>49942.400000000001</v>
      </c>
      <c r="AE75" s="77">
        <f t="shared" si="76"/>
        <v>53754.8</v>
      </c>
      <c r="AF75" s="77">
        <f t="shared" si="76"/>
        <v>58115</v>
      </c>
      <c r="AG75" s="77">
        <f t="shared" si="76"/>
        <v>60662.400000000001</v>
      </c>
    </row>
    <row r="76" spans="1:33" x14ac:dyDescent="0.25">
      <c r="A76" s="119" t="s">
        <v>4</v>
      </c>
      <c r="B76" s="134">
        <f>K109*Générale!$B$4</f>
        <v>30192</v>
      </c>
      <c r="C76" s="134">
        <f>L109*Générale!$B$4</f>
        <v>29130</v>
      </c>
      <c r="D76" s="134">
        <f>M109*Générale!$B$4</f>
        <v>30123</v>
      </c>
      <c r="E76" s="134">
        <f>N109*Générale!$B$4</f>
        <v>26067</v>
      </c>
      <c r="J76" s="119" t="s">
        <v>4</v>
      </c>
      <c r="K76" s="134">
        <f t="shared" si="77"/>
        <v>86589</v>
      </c>
      <c r="L76" s="134">
        <f t="shared" si="68"/>
        <v>93936</v>
      </c>
      <c r="M76" s="134">
        <f t="shared" si="68"/>
        <v>91898</v>
      </c>
      <c r="N76" s="134">
        <f t="shared" si="68"/>
        <v>100240</v>
      </c>
      <c r="O76" s="127">
        <f t="shared" si="69"/>
        <v>93165.75</v>
      </c>
      <c r="P76" s="127">
        <f t="shared" si="70"/>
        <v>5642.0778899858042</v>
      </c>
      <c r="Q76" s="127">
        <f t="shared" si="71"/>
        <v>5642.0778899858042</v>
      </c>
      <c r="S76" s="153" t="s">
        <v>4</v>
      </c>
      <c r="T76" s="77">
        <f t="shared" si="78"/>
        <v>-57474.600000000006</v>
      </c>
      <c r="U76" s="77">
        <f t="shared" si="72"/>
        <v>-66529.2</v>
      </c>
      <c r="V76" s="77">
        <f t="shared" si="72"/>
        <v>-65856.800000000003</v>
      </c>
      <c r="W76" s="77">
        <f t="shared" si="72"/>
        <v>-71904</v>
      </c>
      <c r="X76" s="166">
        <f t="shared" si="73"/>
        <v>-65441.15</v>
      </c>
      <c r="Y76" s="167">
        <f t="shared" si="74"/>
        <v>-57474.600000000006</v>
      </c>
      <c r="Z76" s="167">
        <f t="shared" si="75"/>
        <v>-71904</v>
      </c>
      <c r="AC76" s="119" t="s">
        <v>4</v>
      </c>
      <c r="AD76" s="77">
        <f t="shared" si="79"/>
        <v>57474.600000000006</v>
      </c>
      <c r="AE76" s="77">
        <f t="shared" si="76"/>
        <v>66529.2</v>
      </c>
      <c r="AF76" s="77">
        <f t="shared" si="76"/>
        <v>65856.800000000003</v>
      </c>
      <c r="AG76" s="77">
        <f t="shared" si="76"/>
        <v>71904</v>
      </c>
    </row>
    <row r="77" spans="1:33" x14ac:dyDescent="0.25">
      <c r="A77" s="119" t="s">
        <v>5</v>
      </c>
      <c r="B77" s="134">
        <f>K110*Générale!$B$4</f>
        <v>42144</v>
      </c>
      <c r="C77" s="134">
        <f>L110*Générale!$B$4</f>
        <v>40704</v>
      </c>
      <c r="D77" s="134">
        <f>M110*Générale!$B$4</f>
        <v>45903</v>
      </c>
      <c r="E77" s="134">
        <f>N110*Générale!$B$4</f>
        <v>55734</v>
      </c>
      <c r="J77" s="119" t="s">
        <v>5</v>
      </c>
      <c r="K77" s="134">
        <f t="shared" si="77"/>
        <v>92460</v>
      </c>
      <c r="L77" s="134">
        <f t="shared" si="68"/>
        <v>88667</v>
      </c>
      <c r="M77" s="134">
        <f t="shared" si="68"/>
        <v>87193</v>
      </c>
      <c r="N77" s="134">
        <f t="shared" si="68"/>
        <v>90259</v>
      </c>
      <c r="O77" s="127">
        <f t="shared" si="69"/>
        <v>89644.75</v>
      </c>
      <c r="P77" s="127">
        <f t="shared" si="70"/>
        <v>2256.1034809304883</v>
      </c>
      <c r="Q77" s="127">
        <f t="shared" si="71"/>
        <v>2256.1034809304883</v>
      </c>
      <c r="S77" s="153" t="s">
        <v>5</v>
      </c>
      <c r="T77" s="77">
        <f t="shared" si="78"/>
        <v>-67060.800000000003</v>
      </c>
      <c r="U77" s="77">
        <f t="shared" si="72"/>
        <v>-63125</v>
      </c>
      <c r="V77" s="77">
        <f t="shared" si="72"/>
        <v>-62594.6</v>
      </c>
      <c r="W77" s="77">
        <f t="shared" si="72"/>
        <v>-65273.4</v>
      </c>
      <c r="X77" s="166">
        <f t="shared" si="73"/>
        <v>-64513.45</v>
      </c>
      <c r="Y77" s="167">
        <f t="shared" si="74"/>
        <v>-62594.6</v>
      </c>
      <c r="Z77" s="167">
        <f t="shared" si="75"/>
        <v>-67060.800000000003</v>
      </c>
      <c r="AC77" s="119" t="s">
        <v>5</v>
      </c>
      <c r="AD77" s="77">
        <f t="shared" si="79"/>
        <v>67060.800000000003</v>
      </c>
      <c r="AE77" s="77">
        <f t="shared" si="76"/>
        <v>63125</v>
      </c>
      <c r="AF77" s="77">
        <f t="shared" si="76"/>
        <v>62594.6</v>
      </c>
      <c r="AG77" s="77">
        <f t="shared" si="76"/>
        <v>65273.4</v>
      </c>
    </row>
    <row r="78" spans="1:33" x14ac:dyDescent="0.25">
      <c r="A78" s="119" t="s">
        <v>6</v>
      </c>
      <c r="B78" s="134">
        <f>K111*Générale!$B$4</f>
        <v>63615</v>
      </c>
      <c r="C78" s="134">
        <f>L111*Générale!$B$4</f>
        <v>65349</v>
      </c>
      <c r="D78" s="134">
        <f>M111*Générale!$B$4</f>
        <v>59565</v>
      </c>
      <c r="E78" s="134">
        <f>N111*Générale!$B$4</f>
        <v>57552</v>
      </c>
      <c r="J78" s="119" t="s">
        <v>6</v>
      </c>
      <c r="K78" s="134">
        <f t="shared" si="77"/>
        <v>89180</v>
      </c>
      <c r="L78" s="134">
        <f t="shared" si="68"/>
        <v>82768</v>
      </c>
      <c r="M78" s="134">
        <f t="shared" si="68"/>
        <v>87112</v>
      </c>
      <c r="N78" s="134">
        <f t="shared" si="68"/>
        <v>93466</v>
      </c>
      <c r="O78" s="127">
        <f t="shared" si="69"/>
        <v>88131.5</v>
      </c>
      <c r="P78" s="127">
        <f t="shared" si="70"/>
        <v>4448.3238416284394</v>
      </c>
      <c r="Q78" s="127">
        <f t="shared" si="71"/>
        <v>4448.3238416284394</v>
      </c>
      <c r="S78" s="153" t="s">
        <v>6</v>
      </c>
      <c r="T78" s="77">
        <f t="shared" si="78"/>
        <v>-73282.880000000005</v>
      </c>
      <c r="U78" s="77">
        <f t="shared" si="72"/>
        <v>-66924.399999999994</v>
      </c>
      <c r="V78" s="77">
        <f t="shared" si="72"/>
        <v>-71286.16</v>
      </c>
      <c r="W78" s="77">
        <f t="shared" si="72"/>
        <v>-78507.520000000004</v>
      </c>
      <c r="X78" s="166">
        <f t="shared" si="73"/>
        <v>-72500.240000000005</v>
      </c>
      <c r="Y78" s="167">
        <f t="shared" si="74"/>
        <v>-66924.399999999994</v>
      </c>
      <c r="Z78" s="167">
        <f t="shared" si="75"/>
        <v>-78507.520000000004</v>
      </c>
      <c r="AC78" s="119" t="s">
        <v>6</v>
      </c>
      <c r="AD78" s="77">
        <f t="shared" si="79"/>
        <v>73282.880000000005</v>
      </c>
      <c r="AE78" s="77">
        <f t="shared" si="76"/>
        <v>66924.399999999994</v>
      </c>
      <c r="AF78" s="77">
        <f t="shared" si="76"/>
        <v>71286.16</v>
      </c>
      <c r="AG78" s="77">
        <f t="shared" si="76"/>
        <v>78507.520000000004</v>
      </c>
    </row>
    <row r="79" spans="1:33" x14ac:dyDescent="0.25">
      <c r="A79" s="119" t="s">
        <v>7</v>
      </c>
      <c r="B79" s="134">
        <f>K112*Générale!$B$4</f>
        <v>62325</v>
      </c>
      <c r="C79" s="134">
        <f>L112*Générale!$B$4</f>
        <v>57402</v>
      </c>
      <c r="D79" s="134">
        <f>M112*Générale!$B$4</f>
        <v>57618</v>
      </c>
      <c r="E79" s="134">
        <f>N112*Générale!$B$4</f>
        <v>65784</v>
      </c>
      <c r="J79" s="119" t="s">
        <v>7</v>
      </c>
      <c r="K79" s="134">
        <f t="shared" si="77"/>
        <v>94793</v>
      </c>
      <c r="L79" s="134">
        <f t="shared" si="68"/>
        <v>94709</v>
      </c>
      <c r="M79" s="134">
        <f t="shared" si="68"/>
        <v>89587</v>
      </c>
      <c r="N79" s="134">
        <f t="shared" si="68"/>
        <v>94766</v>
      </c>
      <c r="O79" s="127">
        <f t="shared" si="69"/>
        <v>93463.75</v>
      </c>
      <c r="P79" s="127">
        <f t="shared" si="70"/>
        <v>2584.7371723252636</v>
      </c>
      <c r="Q79" s="127">
        <f t="shared" si="71"/>
        <v>2584.7371723252636</v>
      </c>
      <c r="S79" s="153" t="s">
        <v>7</v>
      </c>
      <c r="T79" s="77">
        <f t="shared" si="78"/>
        <v>-80087.48</v>
      </c>
      <c r="U79" s="77">
        <f t="shared" si="72"/>
        <v>-79371.08</v>
      </c>
      <c r="V79" s="77">
        <f t="shared" si="72"/>
        <v>-74171.56</v>
      </c>
      <c r="W79" s="77">
        <f t="shared" si="72"/>
        <v>-79093.040000000008</v>
      </c>
      <c r="X79" s="166">
        <f t="shared" si="73"/>
        <v>-78180.790000000008</v>
      </c>
      <c r="Y79" s="167">
        <f t="shared" si="74"/>
        <v>-74171.56</v>
      </c>
      <c r="Z79" s="167">
        <f t="shared" si="75"/>
        <v>-80087.48</v>
      </c>
      <c r="AC79" s="119" t="s">
        <v>7</v>
      </c>
      <c r="AD79" s="77">
        <f t="shared" si="79"/>
        <v>80087.48</v>
      </c>
      <c r="AE79" s="77">
        <f t="shared" si="76"/>
        <v>79371.08</v>
      </c>
      <c r="AF79" s="77">
        <f t="shared" si="76"/>
        <v>74171.56</v>
      </c>
      <c r="AG79" s="77">
        <f t="shared" si="76"/>
        <v>79093.040000000008</v>
      </c>
    </row>
    <row r="80" spans="1:33" x14ac:dyDescent="0.25">
      <c r="A80" s="119" t="s">
        <v>8</v>
      </c>
      <c r="B80" s="134">
        <f>K113*Générale!$B$4</f>
        <v>71118</v>
      </c>
      <c r="C80" s="134">
        <f>L113*Générale!$B$4</f>
        <v>63231</v>
      </c>
      <c r="D80" s="134">
        <f>M113*Générale!$B$4</f>
        <v>72294</v>
      </c>
      <c r="E80" s="134">
        <f>N113*Générale!$B$4</f>
        <v>80937</v>
      </c>
      <c r="J80" s="119" t="s">
        <v>8</v>
      </c>
      <c r="K80" s="134">
        <f t="shared" si="77"/>
        <v>94228</v>
      </c>
      <c r="L80" s="134">
        <f t="shared" si="68"/>
        <v>94092</v>
      </c>
      <c r="M80" s="134">
        <f t="shared" si="68"/>
        <v>87781</v>
      </c>
      <c r="N80" s="134">
        <f t="shared" si="68"/>
        <v>90145</v>
      </c>
      <c r="O80" s="127">
        <f t="shared" si="69"/>
        <v>91561.5</v>
      </c>
      <c r="P80" s="127">
        <f t="shared" si="70"/>
        <v>3152.36974354215</v>
      </c>
      <c r="Q80" s="127">
        <f t="shared" si="71"/>
        <v>3152.36974354215</v>
      </c>
      <c r="S80" s="153" t="s">
        <v>8</v>
      </c>
      <c r="T80" s="77">
        <f t="shared" si="78"/>
        <v>-77918.320000000007</v>
      </c>
      <c r="U80" s="77">
        <f t="shared" si="72"/>
        <v>-78084.72</v>
      </c>
      <c r="V80" s="77">
        <f t="shared" si="72"/>
        <v>-72222.28</v>
      </c>
      <c r="W80" s="77">
        <f t="shared" si="72"/>
        <v>-72479.8</v>
      </c>
      <c r="X80" s="166">
        <f t="shared" si="73"/>
        <v>-75176.28</v>
      </c>
      <c r="Y80" s="167">
        <f t="shared" si="74"/>
        <v>-72222.28</v>
      </c>
      <c r="Z80" s="167">
        <f t="shared" si="75"/>
        <v>-78084.72</v>
      </c>
      <c r="AC80" s="119" t="s">
        <v>8</v>
      </c>
      <c r="AD80" s="77">
        <f t="shared" si="79"/>
        <v>77918.320000000007</v>
      </c>
      <c r="AE80" s="77">
        <f t="shared" si="76"/>
        <v>78084.72</v>
      </c>
      <c r="AF80" s="77">
        <f t="shared" si="76"/>
        <v>72222.28</v>
      </c>
      <c r="AG80" s="77">
        <f t="shared" si="76"/>
        <v>72479.8</v>
      </c>
    </row>
    <row r="81" spans="1:33" x14ac:dyDescent="0.25">
      <c r="A81" s="119" t="s">
        <v>9</v>
      </c>
      <c r="B81" s="134">
        <f>K114*Générale!$B$4</f>
        <v>94557</v>
      </c>
      <c r="C81" s="134">
        <f>L114*Générale!$B$4</f>
        <v>80121</v>
      </c>
      <c r="D81" s="134">
        <f>M114*Générale!$B$4</f>
        <v>80484</v>
      </c>
      <c r="E81" s="134">
        <f>N114*Générale!$B$4</f>
        <v>93930</v>
      </c>
      <c r="J81" s="119" t="s">
        <v>9</v>
      </c>
      <c r="K81" s="134">
        <f t="shared" si="77"/>
        <v>75574</v>
      </c>
      <c r="L81" s="134">
        <f t="shared" si="68"/>
        <v>78351</v>
      </c>
      <c r="M81" s="134">
        <f t="shared" si="68"/>
        <v>83626</v>
      </c>
      <c r="N81" s="134">
        <f t="shared" si="68"/>
        <v>84738</v>
      </c>
      <c r="O81" s="127">
        <f t="shared" si="69"/>
        <v>80572.25</v>
      </c>
      <c r="P81" s="127">
        <f t="shared" si="70"/>
        <v>4343.3979305761668</v>
      </c>
      <c r="Q81" s="127">
        <f t="shared" si="71"/>
        <v>4343.3979305761668</v>
      </c>
      <c r="S81" s="153" t="s">
        <v>9</v>
      </c>
      <c r="T81" s="77">
        <f t="shared" si="78"/>
        <v>-59902</v>
      </c>
      <c r="U81" s="77">
        <f t="shared" si="72"/>
        <v>-61575.72</v>
      </c>
      <c r="V81" s="77">
        <f t="shared" si="72"/>
        <v>-68119.839999999997</v>
      </c>
      <c r="W81" s="77">
        <f t="shared" si="72"/>
        <v>-67307.28</v>
      </c>
      <c r="X81" s="166">
        <f t="shared" si="73"/>
        <v>-64226.21</v>
      </c>
      <c r="Y81" s="167">
        <f t="shared" si="74"/>
        <v>-59902</v>
      </c>
      <c r="Z81" s="167">
        <f t="shared" si="75"/>
        <v>-68119.839999999997</v>
      </c>
      <c r="AC81" s="119" t="s">
        <v>9</v>
      </c>
      <c r="AD81" s="77">
        <f t="shared" si="79"/>
        <v>59902</v>
      </c>
      <c r="AE81" s="77">
        <f t="shared" si="76"/>
        <v>61575.72</v>
      </c>
      <c r="AF81" s="77">
        <f t="shared" si="76"/>
        <v>68119.839999999997</v>
      </c>
      <c r="AG81" s="77">
        <f t="shared" si="76"/>
        <v>67307.28</v>
      </c>
    </row>
    <row r="82" spans="1:33" x14ac:dyDescent="0.25">
      <c r="A82" s="119" t="s">
        <v>10</v>
      </c>
      <c r="B82" s="134">
        <f>K115*Générale!$B$4</f>
        <v>73653</v>
      </c>
      <c r="C82" s="134">
        <f>L115*Générale!$B$4</f>
        <v>67098</v>
      </c>
      <c r="D82" s="134">
        <f>M115*Générale!$B$4</f>
        <v>67452</v>
      </c>
      <c r="E82" s="134">
        <f>N115*Générale!$B$4</f>
        <v>79296</v>
      </c>
      <c r="J82" s="119" t="s">
        <v>10</v>
      </c>
      <c r="K82" s="134">
        <f t="shared" si="77"/>
        <v>81012</v>
      </c>
      <c r="L82" s="134">
        <f t="shared" si="68"/>
        <v>83235</v>
      </c>
      <c r="M82" s="134">
        <f t="shared" si="68"/>
        <v>81408</v>
      </c>
      <c r="N82" s="134">
        <f t="shared" si="68"/>
        <v>81061</v>
      </c>
      <c r="O82" s="127">
        <f t="shared" si="69"/>
        <v>81679</v>
      </c>
      <c r="P82" s="127">
        <f t="shared" si="70"/>
        <v>1052.2024520024652</v>
      </c>
      <c r="Q82" s="127">
        <f t="shared" si="71"/>
        <v>1052.2024520024652</v>
      </c>
      <c r="S82" s="153" t="s">
        <v>10</v>
      </c>
      <c r="T82" s="77">
        <f t="shared" si="78"/>
        <v>-65807.040000000008</v>
      </c>
      <c r="U82" s="77">
        <f t="shared" si="72"/>
        <v>-68674.2</v>
      </c>
      <c r="V82" s="77">
        <f t="shared" si="72"/>
        <v>-66271.44</v>
      </c>
      <c r="W82" s="77">
        <f t="shared" si="72"/>
        <v>-57339.88</v>
      </c>
      <c r="X82" s="166">
        <f t="shared" si="73"/>
        <v>-64523.14</v>
      </c>
      <c r="Y82" s="167">
        <f t="shared" si="74"/>
        <v>-57339.88</v>
      </c>
      <c r="Z82" s="167">
        <f t="shared" si="75"/>
        <v>-68674.2</v>
      </c>
      <c r="AC82" s="119" t="s">
        <v>10</v>
      </c>
      <c r="AD82" s="77">
        <f t="shared" si="79"/>
        <v>65807.040000000008</v>
      </c>
      <c r="AE82" s="77">
        <f t="shared" si="76"/>
        <v>68674.2</v>
      </c>
      <c r="AF82" s="77">
        <f t="shared" si="76"/>
        <v>66271.44</v>
      </c>
      <c r="AG82" s="77">
        <f t="shared" si="76"/>
        <v>57339.88</v>
      </c>
    </row>
    <row r="83" spans="1:33" x14ac:dyDescent="0.25">
      <c r="A83" s="119" t="s">
        <v>11</v>
      </c>
      <c r="B83" s="134">
        <f>K116*Générale!$B$4</f>
        <v>49509</v>
      </c>
      <c r="C83" s="134">
        <f>L116*Générale!$B$4</f>
        <v>59094</v>
      </c>
      <c r="D83" s="134">
        <f>M116*Générale!$B$4</f>
        <v>49833</v>
      </c>
      <c r="E83" s="134">
        <f>N116*Générale!$B$4</f>
        <v>50127</v>
      </c>
      <c r="J83" s="119" t="s">
        <v>11</v>
      </c>
      <c r="K83" s="134">
        <f t="shared" si="77"/>
        <v>85891</v>
      </c>
      <c r="L83" s="134">
        <f t="shared" si="68"/>
        <v>80556</v>
      </c>
      <c r="M83" s="134">
        <f t="shared" si="68"/>
        <v>78970</v>
      </c>
      <c r="N83" s="134">
        <f t="shared" si="68"/>
        <v>87996</v>
      </c>
      <c r="O83" s="127">
        <f t="shared" si="69"/>
        <v>83353.25</v>
      </c>
      <c r="P83" s="127">
        <f t="shared" si="70"/>
        <v>4283.0203809150071</v>
      </c>
      <c r="Q83" s="127">
        <f t="shared" si="71"/>
        <v>4283.0203809150071</v>
      </c>
      <c r="S83" s="153" t="s">
        <v>11</v>
      </c>
      <c r="T83" s="77">
        <f t="shared" si="78"/>
        <v>-61393.8</v>
      </c>
      <c r="U83" s="77">
        <f t="shared" si="72"/>
        <v>-52758</v>
      </c>
      <c r="V83" s="77">
        <f t="shared" si="72"/>
        <v>-55874</v>
      </c>
      <c r="W83" s="77">
        <f t="shared" si="72"/>
        <v>-51489.2</v>
      </c>
      <c r="X83" s="166">
        <f t="shared" si="73"/>
        <v>-55378.75</v>
      </c>
      <c r="Y83" s="167">
        <f t="shared" si="74"/>
        <v>-51489.2</v>
      </c>
      <c r="Z83" s="167">
        <f t="shared" si="75"/>
        <v>-61393.8</v>
      </c>
      <c r="AC83" s="119" t="s">
        <v>11</v>
      </c>
      <c r="AD83" s="77">
        <f t="shared" si="79"/>
        <v>61393.8</v>
      </c>
      <c r="AE83" s="77">
        <f t="shared" si="76"/>
        <v>52758</v>
      </c>
      <c r="AF83" s="77">
        <f t="shared" si="76"/>
        <v>55874</v>
      </c>
      <c r="AG83" s="77">
        <f t="shared" si="76"/>
        <v>51489.2</v>
      </c>
    </row>
    <row r="84" spans="1:33" x14ac:dyDescent="0.25">
      <c r="A84" s="119" t="s">
        <v>12</v>
      </c>
      <c r="B84" s="134">
        <f>K117*Générale!$B$4</f>
        <v>25779</v>
      </c>
      <c r="C84" s="134">
        <f>L117*Générale!$B$4</f>
        <v>24912</v>
      </c>
      <c r="D84" s="134">
        <f>M117*Générale!$B$4</f>
        <v>23682</v>
      </c>
      <c r="E84" s="134">
        <f>N117*Générale!$B$4</f>
        <v>0</v>
      </c>
      <c r="J84" s="119" t="s">
        <v>12</v>
      </c>
      <c r="K84" s="134">
        <f t="shared" si="77"/>
        <v>80312</v>
      </c>
      <c r="L84" s="134">
        <f t="shared" si="68"/>
        <v>81578</v>
      </c>
      <c r="M84" s="134">
        <f t="shared" si="68"/>
        <v>84818</v>
      </c>
      <c r="N84" s="134">
        <f t="shared" si="68"/>
        <v>0</v>
      </c>
      <c r="O84" s="127">
        <f t="shared" si="69"/>
        <v>61677</v>
      </c>
      <c r="P84" s="127">
        <f t="shared" si="70"/>
        <v>41161.759097492417</v>
      </c>
      <c r="Q84" s="127">
        <f t="shared" si="71"/>
        <v>41161.759097492417</v>
      </c>
      <c r="S84" s="153" t="s">
        <v>12</v>
      </c>
      <c r="T84" s="77">
        <f t="shared" si="78"/>
        <v>-51769.2</v>
      </c>
      <c r="U84" s="77">
        <f t="shared" si="72"/>
        <v>-52570.8</v>
      </c>
      <c r="V84" s="77">
        <f t="shared" si="72"/>
        <v>-58656</v>
      </c>
      <c r="W84" s="77"/>
      <c r="X84" s="166">
        <f t="shared" si="73"/>
        <v>-54332</v>
      </c>
      <c r="Y84" s="167">
        <f t="shared" si="74"/>
        <v>-51769.2</v>
      </c>
      <c r="Z84" s="167">
        <f t="shared" si="75"/>
        <v>-58656</v>
      </c>
      <c r="AC84" s="119" t="s">
        <v>12</v>
      </c>
      <c r="AD84" s="77">
        <f t="shared" si="79"/>
        <v>51769.2</v>
      </c>
      <c r="AE84" s="77">
        <f t="shared" si="76"/>
        <v>52570.8</v>
      </c>
      <c r="AF84" s="77">
        <f t="shared" si="76"/>
        <v>58656</v>
      </c>
      <c r="AG84" s="77"/>
    </row>
    <row r="85" spans="1:33" ht="15.75" thickBot="1" x14ac:dyDescent="0.3">
      <c r="A85" s="119" t="s">
        <v>13</v>
      </c>
      <c r="B85" s="134">
        <f>K118*Générale!$B$4</f>
        <v>38424</v>
      </c>
      <c r="C85" s="134">
        <f>L118*Générale!$B$4</f>
        <v>34665</v>
      </c>
      <c r="D85" s="134">
        <f>M118*Générale!$B$4</f>
        <v>28305</v>
      </c>
      <c r="E85" s="134">
        <f>N118*Générale!$B$4</f>
        <v>0</v>
      </c>
      <c r="J85" s="119" t="s">
        <v>13</v>
      </c>
      <c r="K85" s="134">
        <f t="shared" si="77"/>
        <v>78304</v>
      </c>
      <c r="L85" s="134">
        <f t="shared" si="68"/>
        <v>77193</v>
      </c>
      <c r="M85" s="134">
        <f t="shared" si="68"/>
        <v>77727</v>
      </c>
      <c r="N85" s="134">
        <f t="shared" si="68"/>
        <v>0</v>
      </c>
      <c r="O85" s="127">
        <f t="shared" si="69"/>
        <v>58306</v>
      </c>
      <c r="P85" s="127">
        <f t="shared" si="70"/>
        <v>38873.314111354077</v>
      </c>
      <c r="Q85" s="127">
        <f t="shared" si="71"/>
        <v>38873.314111354077</v>
      </c>
      <c r="S85" s="168" t="s">
        <v>13</v>
      </c>
      <c r="T85" s="77">
        <f t="shared" si="78"/>
        <v>-52131.6</v>
      </c>
      <c r="U85" s="77">
        <f t="shared" si="72"/>
        <v>-51416.200000000004</v>
      </c>
      <c r="V85" s="77">
        <f t="shared" si="72"/>
        <v>-53065</v>
      </c>
      <c r="W85" s="77"/>
      <c r="X85" s="166">
        <f t="shared" si="73"/>
        <v>-52204.266666666663</v>
      </c>
      <c r="Y85" s="167">
        <f t="shared" si="74"/>
        <v>-51416.200000000004</v>
      </c>
      <c r="Z85" s="167">
        <f t="shared" si="75"/>
        <v>-53065</v>
      </c>
      <c r="AC85" s="139" t="s">
        <v>13</v>
      </c>
      <c r="AD85" s="77">
        <f t="shared" si="79"/>
        <v>52131.6</v>
      </c>
      <c r="AE85" s="77">
        <f t="shared" si="76"/>
        <v>51416.200000000004</v>
      </c>
      <c r="AF85" s="77">
        <f t="shared" si="76"/>
        <v>53065</v>
      </c>
      <c r="AG85" s="77"/>
    </row>
    <row r="86" spans="1:33" ht="16.5" thickTop="1" thickBot="1" x14ac:dyDescent="0.3">
      <c r="A86" s="128" t="s">
        <v>0</v>
      </c>
      <c r="B86" s="137">
        <f>SUM(B74:B85)</f>
        <v>604980</v>
      </c>
      <c r="C86" s="137">
        <f t="shared" ref="C86:D86" si="80">SUM(C74:C85)</f>
        <v>574206</v>
      </c>
      <c r="D86" s="137">
        <f t="shared" si="80"/>
        <v>568743</v>
      </c>
      <c r="E86" s="137">
        <f>SUM(E74:E85)</f>
        <v>554703</v>
      </c>
      <c r="J86" s="128" t="s">
        <v>0</v>
      </c>
      <c r="K86" s="129">
        <f t="shared" ref="K86:M86" si="81">SUM(K74:K85)</f>
        <v>1011582</v>
      </c>
      <c r="L86" s="129">
        <f t="shared" si="81"/>
        <v>1012566</v>
      </c>
      <c r="M86" s="129">
        <f t="shared" si="81"/>
        <v>1010114</v>
      </c>
      <c r="N86" s="129">
        <f>SUM(N74:N85)</f>
        <v>881836</v>
      </c>
      <c r="S86" s="169" t="s">
        <v>0</v>
      </c>
      <c r="T86" s="170">
        <f>SUM(T74:T85)</f>
        <v>-749927.12</v>
      </c>
      <c r="U86" s="170">
        <f>SUM(U74:U85)</f>
        <v>-754264.72</v>
      </c>
      <c r="V86" s="170">
        <f>SUM(V74:V85)</f>
        <v>-761050.48</v>
      </c>
      <c r="W86" s="170">
        <f>SUM(W74:W85)</f>
        <v>-662906.72</v>
      </c>
      <c r="X86" s="148"/>
      <c r="Y86" s="148"/>
      <c r="Z86" s="148"/>
      <c r="AC86" s="138" t="s">
        <v>0</v>
      </c>
      <c r="AD86" s="170">
        <f>SUM(AD74:AD85)</f>
        <v>749927.12</v>
      </c>
      <c r="AE86" s="170">
        <f>SUM(AE74:AE85)</f>
        <v>754264.72</v>
      </c>
      <c r="AF86" s="170">
        <f>SUM(AF74:AF85)</f>
        <v>761050.48</v>
      </c>
      <c r="AG86" s="170">
        <f>SUM(AG74:AG85)</f>
        <v>662906.72</v>
      </c>
    </row>
    <row r="87" spans="1:33" ht="15.75" thickTop="1" x14ac:dyDescent="0.25">
      <c r="A87" s="136" t="s">
        <v>14</v>
      </c>
      <c r="B87" s="136"/>
      <c r="C87" s="136"/>
      <c r="D87" s="136"/>
      <c r="E87" s="136"/>
      <c r="J87" s="136" t="s">
        <v>14</v>
      </c>
      <c r="K87" s="136"/>
      <c r="L87" s="136"/>
      <c r="M87" s="136"/>
      <c r="N87" s="136"/>
      <c r="O87" s="136"/>
      <c r="P87" s="136"/>
      <c r="Q87" s="136"/>
    </row>
    <row r="88" spans="1:33" ht="15.75" thickBot="1" x14ac:dyDescent="0.3"/>
    <row r="89" spans="1:33" ht="17.25" thickTop="1" thickBot="1" x14ac:dyDescent="0.3">
      <c r="A89" s="140" t="s">
        <v>110</v>
      </c>
      <c r="B89" s="141"/>
      <c r="C89" s="141"/>
      <c r="D89" s="141"/>
      <c r="E89" s="141"/>
      <c r="F89" s="142"/>
      <c r="J89" s="140" t="s">
        <v>198</v>
      </c>
      <c r="K89" s="141"/>
      <c r="L89" s="141"/>
      <c r="M89" s="141"/>
      <c r="N89" s="141"/>
    </row>
    <row r="90" spans="1:33" ht="16.5" thickTop="1" x14ac:dyDescent="0.25">
      <c r="A90" s="124"/>
      <c r="B90" s="125">
        <v>2014</v>
      </c>
      <c r="C90" s="125">
        <v>2015</v>
      </c>
      <c r="D90" s="125">
        <v>2016</v>
      </c>
      <c r="E90" s="125">
        <v>2017</v>
      </c>
      <c r="J90" s="124"/>
      <c r="K90" s="125">
        <v>2014</v>
      </c>
      <c r="L90" s="125">
        <v>2015</v>
      </c>
      <c r="M90" s="125">
        <v>2016</v>
      </c>
      <c r="N90" s="125">
        <v>2017</v>
      </c>
    </row>
    <row r="91" spans="1:33" x14ac:dyDescent="0.25">
      <c r="A91" s="119" t="s">
        <v>2</v>
      </c>
      <c r="B91" s="134">
        <f>K91*Générale!$B$4</f>
        <v>8403</v>
      </c>
      <c r="C91" s="134">
        <f>L91*Générale!$B$4</f>
        <v>11826</v>
      </c>
      <c r="D91" s="134">
        <f>M91*Générale!$B$4</f>
        <v>9594</v>
      </c>
      <c r="E91" s="134">
        <f>N91*Générale!$B$4</f>
        <v>13680</v>
      </c>
      <c r="J91" s="119" t="s">
        <v>2</v>
      </c>
      <c r="K91" s="134">
        <v>2801</v>
      </c>
      <c r="L91" s="134">
        <v>3942</v>
      </c>
      <c r="M91" s="134">
        <v>3198</v>
      </c>
      <c r="N91" s="134">
        <v>4560</v>
      </c>
    </row>
    <row r="92" spans="1:33" x14ac:dyDescent="0.25">
      <c r="A92" s="119" t="s">
        <v>3</v>
      </c>
      <c r="B92" s="134">
        <f>K92*Générale!$B$4</f>
        <v>13662</v>
      </c>
      <c r="C92" s="134">
        <f>L92*Générale!$B$4</f>
        <v>10677</v>
      </c>
      <c r="D92" s="134">
        <f>M92*Générale!$B$4</f>
        <v>12141</v>
      </c>
      <c r="E92" s="134">
        <f>N92*Générale!$B$4</f>
        <v>12558</v>
      </c>
      <c r="J92" s="119" t="s">
        <v>3</v>
      </c>
      <c r="K92" s="134">
        <v>4554</v>
      </c>
      <c r="L92" s="134">
        <v>3559</v>
      </c>
      <c r="M92" s="134">
        <v>4047</v>
      </c>
      <c r="N92" s="134">
        <v>4186</v>
      </c>
    </row>
    <row r="93" spans="1:33" x14ac:dyDescent="0.25">
      <c r="A93" s="119" t="s">
        <v>4</v>
      </c>
      <c r="B93" s="134">
        <f>K93*Générale!$B$4</f>
        <v>17235</v>
      </c>
      <c r="C93" s="134">
        <f>L93*Générale!$B$4</f>
        <v>14796</v>
      </c>
      <c r="D93" s="134">
        <f>M93*Générale!$B$4</f>
        <v>14208</v>
      </c>
      <c r="E93" s="134">
        <f>N93*Générale!$B$4</f>
        <v>14799</v>
      </c>
      <c r="J93" s="119" t="s">
        <v>4</v>
      </c>
      <c r="K93" s="134">
        <v>5745</v>
      </c>
      <c r="L93" s="134">
        <v>4932</v>
      </c>
      <c r="M93" s="134">
        <v>4736</v>
      </c>
      <c r="N93" s="134">
        <v>4933</v>
      </c>
    </row>
    <row r="94" spans="1:33" x14ac:dyDescent="0.25">
      <c r="A94" s="119" t="s">
        <v>5</v>
      </c>
      <c r="B94" s="134">
        <f>K94*Générale!$B$4</f>
        <v>19110</v>
      </c>
      <c r="C94" s="134">
        <f>L94*Générale!$B$4</f>
        <v>17838</v>
      </c>
      <c r="D94" s="134">
        <f>M94*Générale!$B$4</f>
        <v>18582</v>
      </c>
      <c r="E94" s="134">
        <f>N94*Générale!$B$4</f>
        <v>20961</v>
      </c>
      <c r="J94" s="119" t="s">
        <v>5</v>
      </c>
      <c r="K94" s="134">
        <v>6370</v>
      </c>
      <c r="L94" s="134">
        <v>5946</v>
      </c>
      <c r="M94" s="134">
        <v>6194</v>
      </c>
      <c r="N94" s="134">
        <v>6987</v>
      </c>
    </row>
    <row r="95" spans="1:33" x14ac:dyDescent="0.25">
      <c r="A95" s="119" t="s">
        <v>6</v>
      </c>
      <c r="B95" s="134">
        <f>K95*Générale!$B$4</f>
        <v>24681</v>
      </c>
      <c r="C95" s="134">
        <f>L95*Générale!$B$4</f>
        <v>22941</v>
      </c>
      <c r="D95" s="134">
        <f>M95*Générale!$B$4</f>
        <v>20496</v>
      </c>
      <c r="E95" s="134">
        <f>N95*Générale!$B$4</f>
        <v>19878</v>
      </c>
      <c r="J95" s="119" t="s">
        <v>6</v>
      </c>
      <c r="K95" s="134">
        <v>8227</v>
      </c>
      <c r="L95" s="134">
        <v>7647</v>
      </c>
      <c r="M95" s="134">
        <v>6832</v>
      </c>
      <c r="N95" s="134">
        <v>6626</v>
      </c>
    </row>
    <row r="96" spans="1:33" x14ac:dyDescent="0.25">
      <c r="A96" s="119" t="s">
        <v>7</v>
      </c>
      <c r="B96" s="134">
        <f>K96*Générale!$B$4</f>
        <v>29625</v>
      </c>
      <c r="C96" s="134">
        <f>L96*Générale!$B$4</f>
        <v>21792</v>
      </c>
      <c r="D96" s="134">
        <f>M96*Générale!$B$4</f>
        <v>21975</v>
      </c>
      <c r="E96" s="134">
        <f>N96*Générale!$B$4</f>
        <v>23835</v>
      </c>
      <c r="J96" s="119" t="s">
        <v>7</v>
      </c>
      <c r="K96" s="134">
        <v>9875</v>
      </c>
      <c r="L96" s="134">
        <v>7264</v>
      </c>
      <c r="M96" s="134">
        <v>7325</v>
      </c>
      <c r="N96" s="134">
        <v>7945</v>
      </c>
    </row>
    <row r="97" spans="1:25" x14ac:dyDescent="0.25">
      <c r="A97" s="119" t="s">
        <v>8</v>
      </c>
      <c r="B97" s="134">
        <f>K97*Générale!$B$4</f>
        <v>25980</v>
      </c>
      <c r="C97" s="134">
        <f>L97*Générale!$B$4</f>
        <v>30174</v>
      </c>
      <c r="D97" s="134">
        <f>M97*Générale!$B$4</f>
        <v>28752</v>
      </c>
      <c r="E97" s="134">
        <f>N97*Générale!$B$4</f>
        <v>28812</v>
      </c>
      <c r="J97" s="119" t="s">
        <v>8</v>
      </c>
      <c r="K97" s="134">
        <v>8660</v>
      </c>
      <c r="L97" s="134">
        <v>10058</v>
      </c>
      <c r="M97" s="134">
        <v>9584</v>
      </c>
      <c r="N97" s="134">
        <v>9604</v>
      </c>
    </row>
    <row r="98" spans="1:25" x14ac:dyDescent="0.25">
      <c r="A98" s="119" t="s">
        <v>9</v>
      </c>
      <c r="B98" s="134">
        <f>K98*Générale!$B$4</f>
        <v>54498</v>
      </c>
      <c r="C98" s="134">
        <f>L98*Générale!$B$4</f>
        <v>42132</v>
      </c>
      <c r="D98" s="134">
        <f>M98*Générale!$B$4</f>
        <v>31074</v>
      </c>
      <c r="E98" s="134">
        <f>N98*Générale!$B$4</f>
        <v>30711</v>
      </c>
      <c r="J98" s="119" t="s">
        <v>9</v>
      </c>
      <c r="K98" s="134">
        <v>18166</v>
      </c>
      <c r="L98" s="134">
        <v>14044</v>
      </c>
      <c r="M98" s="134">
        <v>10358</v>
      </c>
      <c r="N98" s="134">
        <v>10237</v>
      </c>
    </row>
    <row r="99" spans="1:25" x14ac:dyDescent="0.25">
      <c r="A99" s="119" t="s">
        <v>10</v>
      </c>
      <c r="B99" s="134">
        <f>K99*Générale!$B$4</f>
        <v>23610</v>
      </c>
      <c r="C99" s="134">
        <f>L99*Générale!$B$4</f>
        <v>24432</v>
      </c>
      <c r="D99" s="134">
        <f>M99*Générale!$B$4</f>
        <v>24786</v>
      </c>
      <c r="E99" s="134">
        <f>N99*Générale!$B$4</f>
        <v>24858</v>
      </c>
      <c r="J99" s="119" t="s">
        <v>10</v>
      </c>
      <c r="K99" s="134">
        <v>7870</v>
      </c>
      <c r="L99" s="134">
        <v>8144</v>
      </c>
      <c r="M99" s="134">
        <v>8262</v>
      </c>
      <c r="N99" s="134">
        <v>8286</v>
      </c>
    </row>
    <row r="100" spans="1:25" x14ac:dyDescent="0.25">
      <c r="A100" s="119" t="s">
        <v>11</v>
      </c>
      <c r="B100" s="134">
        <f>K100*Générale!$B$4</f>
        <v>23076</v>
      </c>
      <c r="C100" s="134">
        <f>L100*Générale!$B$4</f>
        <v>22032</v>
      </c>
      <c r="D100" s="134">
        <f>M100*Générale!$B$4</f>
        <v>22941</v>
      </c>
      <c r="E100" s="134">
        <f>N100*Générale!$B$4</f>
        <v>21966</v>
      </c>
      <c r="J100" s="119" t="s">
        <v>11</v>
      </c>
      <c r="K100" s="134">
        <v>7692</v>
      </c>
      <c r="L100" s="134">
        <v>7344</v>
      </c>
      <c r="M100" s="134">
        <v>7647</v>
      </c>
      <c r="N100" s="134">
        <v>7322</v>
      </c>
    </row>
    <row r="101" spans="1:25" x14ac:dyDescent="0.25">
      <c r="A101" s="119" t="s">
        <v>12</v>
      </c>
      <c r="B101" s="134">
        <f>K101*Générale!$B$4</f>
        <v>14799</v>
      </c>
      <c r="C101" s="134">
        <f>L101*Générale!$B$4</f>
        <v>13356</v>
      </c>
      <c r="D101" s="134">
        <f>M101*Générale!$B$4</f>
        <v>14517</v>
      </c>
      <c r="E101" s="134">
        <f>N101*Générale!$B$4</f>
        <v>0</v>
      </c>
      <c r="J101" s="119" t="s">
        <v>12</v>
      </c>
      <c r="K101" s="134">
        <v>4933</v>
      </c>
      <c r="L101" s="134">
        <v>4452</v>
      </c>
      <c r="M101" s="134">
        <v>4839</v>
      </c>
      <c r="N101" s="134"/>
    </row>
    <row r="102" spans="1:25" ht="15.75" thickBot="1" x14ac:dyDescent="0.3">
      <c r="A102" s="119" t="s">
        <v>13</v>
      </c>
      <c r="B102" s="134">
        <f>K102*Générale!$B$4</f>
        <v>15681</v>
      </c>
      <c r="C102" s="134">
        <f>L102*Générale!$B$4</f>
        <v>14208</v>
      </c>
      <c r="D102" s="134">
        <f>M102*Générale!$B$4</f>
        <v>17538</v>
      </c>
      <c r="E102" s="134">
        <f>N102*Générale!$B$4</f>
        <v>0</v>
      </c>
      <c r="J102" s="119" t="s">
        <v>13</v>
      </c>
      <c r="K102" s="114">
        <v>5227</v>
      </c>
      <c r="L102" s="114">
        <v>4736</v>
      </c>
      <c r="M102" s="44">
        <v>5846</v>
      </c>
      <c r="N102" s="44"/>
    </row>
    <row r="103" spans="1:25" ht="16.5" thickTop="1" thickBot="1" x14ac:dyDescent="0.3">
      <c r="A103" s="128" t="s">
        <v>0</v>
      </c>
      <c r="B103" s="137">
        <f>SUM(B91:B102)</f>
        <v>270360</v>
      </c>
      <c r="C103" s="137">
        <f t="shared" ref="C103:D103" si="82">SUM(C91:C102)</f>
        <v>246204</v>
      </c>
      <c r="D103" s="137">
        <f t="shared" si="82"/>
        <v>236604</v>
      </c>
      <c r="E103" s="137">
        <f>SUM(E91:E102)</f>
        <v>212058</v>
      </c>
      <c r="J103" s="128" t="s">
        <v>0</v>
      </c>
      <c r="K103" s="129">
        <f>SUM(K91:K102)</f>
        <v>90120</v>
      </c>
      <c r="L103" s="129">
        <f>SUM(L91:L102)</f>
        <v>82068</v>
      </c>
      <c r="M103" s="129">
        <f>SUM(M91:M102)</f>
        <v>78868</v>
      </c>
      <c r="N103" s="129">
        <f>SUM(N91:N102)</f>
        <v>70686</v>
      </c>
    </row>
    <row r="104" spans="1:25" ht="16.5" thickTop="1" thickBot="1" x14ac:dyDescent="0.3">
      <c r="A104" s="136" t="s">
        <v>14</v>
      </c>
      <c r="B104" s="136"/>
      <c r="C104" s="136"/>
      <c r="D104" s="136"/>
      <c r="E104" s="136"/>
    </row>
    <row r="105" spans="1:25" ht="17.25" thickTop="1" thickBot="1" x14ac:dyDescent="0.3">
      <c r="J105" s="140" t="s">
        <v>179</v>
      </c>
      <c r="K105" s="141"/>
      <c r="L105" s="141"/>
      <c r="M105" s="141"/>
      <c r="N105" s="141"/>
    </row>
    <row r="106" spans="1:25" ht="17.25" thickTop="1" thickBot="1" x14ac:dyDescent="0.3">
      <c r="A106" s="140" t="s">
        <v>180</v>
      </c>
      <c r="B106" s="142"/>
      <c r="J106" s="124"/>
      <c r="K106" s="125">
        <v>2014</v>
      </c>
      <c r="L106" s="125">
        <v>2015</v>
      </c>
      <c r="M106" s="125">
        <v>2016</v>
      </c>
      <c r="N106" s="125">
        <v>2017</v>
      </c>
      <c r="P106"/>
      <c r="Q106"/>
      <c r="R106"/>
      <c r="S106"/>
      <c r="T106"/>
      <c r="U106"/>
      <c r="V106"/>
      <c r="W106"/>
      <c r="X106"/>
      <c r="Y106"/>
    </row>
    <row r="107" spans="1:25" ht="16.5" thickTop="1" x14ac:dyDescent="0.25">
      <c r="A107" s="124"/>
      <c r="B107" s="125">
        <v>2014</v>
      </c>
      <c r="C107" s="125">
        <v>2015</v>
      </c>
      <c r="D107" s="125">
        <v>2016</v>
      </c>
      <c r="E107" s="125">
        <v>2017</v>
      </c>
      <c r="F107" s="126" t="s">
        <v>1</v>
      </c>
      <c r="G107" s="117" t="s">
        <v>18</v>
      </c>
      <c r="H107" s="117" t="s">
        <v>17</v>
      </c>
      <c r="J107" s="119" t="s">
        <v>2</v>
      </c>
      <c r="K107" s="84">
        <v>10084</v>
      </c>
      <c r="L107" s="84">
        <v>9232</v>
      </c>
      <c r="M107" s="84">
        <v>8757</v>
      </c>
      <c r="N107" s="134">
        <v>7478</v>
      </c>
      <c r="P107"/>
      <c r="Q107"/>
      <c r="R107"/>
      <c r="S107"/>
      <c r="T107"/>
      <c r="U107"/>
      <c r="V107"/>
      <c r="W107"/>
      <c r="X107"/>
      <c r="Y107"/>
    </row>
    <row r="108" spans="1:25" x14ac:dyDescent="0.25">
      <c r="A108" s="119" t="s">
        <v>2</v>
      </c>
      <c r="B108" s="134">
        <f>'BASTIA 2014'!BU4+'BASTIA 2014'!BU21</f>
        <v>29546.719999999998</v>
      </c>
      <c r="C108" s="134">
        <f>'BASTIA 2015'!BU4+'BASTIA 2015'!BU21</f>
        <v>25953.199999999997</v>
      </c>
      <c r="D108" s="134">
        <f>'BASTIA 2016'!BU4+'BASTIA 2016'!BU4</f>
        <v>27151.039999999997</v>
      </c>
      <c r="E108" s="134">
        <f>'BASTIA 2017'!BU4+'BASTIA 2017'!BU4</f>
        <v>23956.799999999999</v>
      </c>
      <c r="F108" s="127">
        <f t="shared" ref="F108:F119" si="83">AVERAGE(B108:E108)</f>
        <v>26651.94</v>
      </c>
      <c r="G108" s="127">
        <f t="shared" ref="G108:G119" si="84">STDEVA(B108:E108)</f>
        <v>2336.7262901760655</v>
      </c>
      <c r="H108" s="127">
        <f t="shared" ref="H108:H119" si="85">STDEVA(B108:E108)</f>
        <v>2336.7262901760655</v>
      </c>
      <c r="J108" s="119" t="s">
        <v>3</v>
      </c>
      <c r="K108" s="84">
        <v>7804</v>
      </c>
      <c r="L108" s="84">
        <v>8268</v>
      </c>
      <c r="M108" s="84">
        <v>9071</v>
      </c>
      <c r="N108" s="134">
        <v>7614</v>
      </c>
      <c r="P108"/>
      <c r="Q108"/>
      <c r="R108"/>
      <c r="S108"/>
      <c r="T108"/>
      <c r="U108"/>
      <c r="V108"/>
      <c r="W108"/>
      <c r="X108"/>
      <c r="Y108"/>
    </row>
    <row r="109" spans="1:25" x14ac:dyDescent="0.25">
      <c r="A109" s="119" t="s">
        <v>3</v>
      </c>
      <c r="B109" s="134">
        <f>'BASTIA 2014'!BU5+'BASTIA 2014'!BU22</f>
        <v>24356.079999999998</v>
      </c>
      <c r="C109" s="134">
        <f>'BASTIA 2015'!BU5+'BASTIA 2015'!BU22</f>
        <v>23158.239999999998</v>
      </c>
      <c r="D109" s="134">
        <f>'BASTIA 2016'!BU5+'BASTIA 2016'!BU5</f>
        <v>25553.919999999998</v>
      </c>
      <c r="E109" s="134">
        <f>'BASTIA 2017'!BU5+'BASTIA 2017'!BU5</f>
        <v>23158.239999999998</v>
      </c>
      <c r="F109" s="127">
        <f t="shared" si="83"/>
        <v>24056.619999999995</v>
      </c>
      <c r="G109" s="127">
        <f t="shared" si="84"/>
        <v>1146.8444867548521</v>
      </c>
      <c r="H109" s="127">
        <f t="shared" si="85"/>
        <v>1146.8444867548521</v>
      </c>
      <c r="J109" s="119" t="s">
        <v>4</v>
      </c>
      <c r="K109" s="84">
        <v>10064</v>
      </c>
      <c r="L109" s="84">
        <v>9710</v>
      </c>
      <c r="M109" s="84">
        <v>10041</v>
      </c>
      <c r="N109" s="134">
        <v>8689</v>
      </c>
      <c r="P109"/>
      <c r="Q109"/>
      <c r="R109"/>
      <c r="S109"/>
      <c r="T109"/>
      <c r="U109"/>
      <c r="V109"/>
      <c r="W109"/>
      <c r="X109"/>
      <c r="Y109"/>
    </row>
    <row r="110" spans="1:25" x14ac:dyDescent="0.25">
      <c r="A110" s="119" t="s">
        <v>4</v>
      </c>
      <c r="B110" s="134">
        <f>'BASTIA 2014'!BU6+'BASTIA 2014'!BU23</f>
        <v>26751.759999999998</v>
      </c>
      <c r="C110" s="134">
        <f>'BASTIA 2015'!BU6+'BASTIA 2015'!BU23</f>
        <v>25553.919999999998</v>
      </c>
      <c r="D110" s="134">
        <f>'BASTIA 2016'!BU6+'BASTIA 2016'!BU6</f>
        <v>25553.920000000002</v>
      </c>
      <c r="E110" s="134">
        <f>'BASTIA 2017'!BU6+'BASTIA 2017'!BU6</f>
        <v>26352.48</v>
      </c>
      <c r="F110" s="127">
        <f t="shared" si="83"/>
        <v>26053.019999999997</v>
      </c>
      <c r="G110" s="127">
        <f t="shared" si="84"/>
        <v>598.91999999999928</v>
      </c>
      <c r="H110" s="127">
        <f t="shared" si="85"/>
        <v>598.91999999999928</v>
      </c>
      <c r="J110" s="119" t="s">
        <v>5</v>
      </c>
      <c r="K110" s="84">
        <v>14048</v>
      </c>
      <c r="L110" s="84">
        <v>13568</v>
      </c>
      <c r="M110" s="84">
        <v>15301</v>
      </c>
      <c r="N110" s="134">
        <v>18578</v>
      </c>
    </row>
    <row r="111" spans="1:25" x14ac:dyDescent="0.25">
      <c r="A111" s="119" t="s">
        <v>5</v>
      </c>
      <c r="B111" s="134">
        <f>'BASTIA 2014'!BU7+'BASTIA 2014'!BU24</f>
        <v>57211.119999999995</v>
      </c>
      <c r="C111" s="134">
        <f>'BASTIA 2015'!BU7+'BASTIA 2015'!BU24</f>
        <v>60120.159999999996</v>
      </c>
      <c r="D111" s="134">
        <f>'BASTIA 2016'!BU7+'BASTIA 2016'!BU7</f>
        <v>62059.519999999982</v>
      </c>
      <c r="E111" s="134">
        <f>'BASTIA 2017'!BU7+'BASTIA 2017'!BU7</f>
        <v>65938.239999999991</v>
      </c>
      <c r="F111" s="127">
        <f t="shared" si="83"/>
        <v>61332.259999999995</v>
      </c>
      <c r="G111" s="127">
        <f t="shared" si="84"/>
        <v>3660.4617275966675</v>
      </c>
      <c r="H111" s="127">
        <f t="shared" si="85"/>
        <v>3660.4617275966675</v>
      </c>
      <c r="J111" s="119" t="s">
        <v>6</v>
      </c>
      <c r="K111" s="84">
        <v>21205</v>
      </c>
      <c r="L111" s="84">
        <v>21783</v>
      </c>
      <c r="M111" s="84">
        <v>19855</v>
      </c>
      <c r="N111" s="134">
        <v>19184</v>
      </c>
    </row>
    <row r="112" spans="1:25" x14ac:dyDescent="0.25">
      <c r="A112" s="119" t="s">
        <v>6</v>
      </c>
      <c r="B112" s="134">
        <f>'BASTIA 2014'!BU8+'BASTIA 2014'!BU25</f>
        <v>63029.2</v>
      </c>
      <c r="C112" s="134">
        <f>'BASTIA 2015'!BU8+'BASTIA 2015'!BU25</f>
        <v>68847.28</v>
      </c>
      <c r="D112" s="134">
        <f>'BASTIA 2016'!BU8+'BASTIA 2016'!BU8</f>
        <v>67877.599999999991</v>
      </c>
      <c r="E112" s="134">
        <f>'BASTIA 2017'!BU8+'BASTIA 2017'!BU8</f>
        <v>65938.239999999991</v>
      </c>
      <c r="F112" s="127">
        <f t="shared" si="83"/>
        <v>66423.079999999987</v>
      </c>
      <c r="G112" s="127">
        <f t="shared" si="84"/>
        <v>2565.5321313131121</v>
      </c>
      <c r="H112" s="127">
        <f t="shared" si="85"/>
        <v>2565.5321313131121</v>
      </c>
      <c r="J112" s="119" t="s">
        <v>7</v>
      </c>
      <c r="K112" s="84">
        <v>20775</v>
      </c>
      <c r="L112" s="84">
        <v>19134</v>
      </c>
      <c r="M112" s="84">
        <v>19206</v>
      </c>
      <c r="N112" s="134">
        <v>21928</v>
      </c>
    </row>
    <row r="113" spans="1:14" x14ac:dyDescent="0.25">
      <c r="A113" s="119" t="s">
        <v>7</v>
      </c>
      <c r="B113" s="134">
        <f>'BASTIA 2014'!BU9+'BASTIA 2014'!BU26</f>
        <v>57211.119999999995</v>
      </c>
      <c r="C113" s="134">
        <f>'BASTIA 2015'!BU9+'BASTIA 2015'!BU26</f>
        <v>58180.799999999996</v>
      </c>
      <c r="D113" s="134">
        <f>'BASTIA 2016'!BU9+'BASTIA 2016'!BU9</f>
        <v>71756.319999999992</v>
      </c>
      <c r="E113" s="134">
        <f>'BASTIA 2017'!BU9+'BASTIA 2017'!BU9</f>
        <v>69816.959999999992</v>
      </c>
      <c r="F113" s="127">
        <f t="shared" si="83"/>
        <v>64241.299999999996</v>
      </c>
      <c r="G113" s="127">
        <f t="shared" si="84"/>
        <v>7609.5685624174685</v>
      </c>
      <c r="H113" s="127">
        <f t="shared" si="85"/>
        <v>7609.5685624174685</v>
      </c>
      <c r="J113" s="119" t="s">
        <v>8</v>
      </c>
      <c r="K113" s="84">
        <v>23706</v>
      </c>
      <c r="L113" s="84">
        <v>21077</v>
      </c>
      <c r="M113" s="84">
        <v>24098</v>
      </c>
      <c r="N113" s="134">
        <v>26979</v>
      </c>
    </row>
    <row r="114" spans="1:14" x14ac:dyDescent="0.25">
      <c r="A114" s="119" t="s">
        <v>8</v>
      </c>
      <c r="B114" s="134">
        <f>'BASTIA 2014'!BU10+'BASTIA 2014'!BU27</f>
        <v>61089.84</v>
      </c>
      <c r="C114" s="134">
        <f>'BASTIA 2015'!BU10+'BASTIA 2015'!BU27</f>
        <v>60120.159999999996</v>
      </c>
      <c r="D114" s="134">
        <f>'BASTIA 2016'!BU10+'BASTIA 2016'!BU10</f>
        <v>63998.879999999997</v>
      </c>
      <c r="E114" s="134">
        <f>'BASTIA 2017'!BU10+'BASTIA 2017'!BU10</f>
        <v>75635.039999999994</v>
      </c>
      <c r="F114" s="127">
        <f t="shared" si="83"/>
        <v>65210.979999999996</v>
      </c>
      <c r="G114" s="127">
        <f t="shared" si="84"/>
        <v>7142.1391862102482</v>
      </c>
      <c r="H114" s="127">
        <f t="shared" si="85"/>
        <v>7142.1391862102482</v>
      </c>
      <c r="J114" s="119" t="s">
        <v>9</v>
      </c>
      <c r="K114" s="84">
        <v>31519</v>
      </c>
      <c r="L114" s="84">
        <v>26707</v>
      </c>
      <c r="M114" s="84">
        <v>26828</v>
      </c>
      <c r="N114" s="134">
        <v>31310</v>
      </c>
    </row>
    <row r="115" spans="1:14" x14ac:dyDescent="0.25">
      <c r="A115" s="119" t="s">
        <v>9</v>
      </c>
      <c r="B115" s="134">
        <f>'BASTIA 2014'!BU11+'BASTIA 2014'!BU28</f>
        <v>59150.479999999996</v>
      </c>
      <c r="C115" s="134">
        <f>'BASTIA 2015'!BU11+'BASTIA 2015'!BU28</f>
        <v>63998.879999999997</v>
      </c>
      <c r="D115" s="134">
        <f>'BASTIA 2016'!BU11+'BASTIA 2016'!BU11</f>
        <v>62059.519999999997</v>
      </c>
      <c r="E115" s="134">
        <f>'BASTIA 2017'!BU11+'BASTIA 2017'!BU11</f>
        <v>81453.119999999981</v>
      </c>
      <c r="F115" s="127">
        <f t="shared" si="83"/>
        <v>66665.499999999985</v>
      </c>
      <c r="G115" s="127">
        <f t="shared" si="84"/>
        <v>10057.7523143362</v>
      </c>
      <c r="H115" s="127">
        <f t="shared" si="85"/>
        <v>10057.7523143362</v>
      </c>
      <c r="J115" s="119" t="s">
        <v>10</v>
      </c>
      <c r="K115" s="84">
        <v>24551</v>
      </c>
      <c r="L115" s="84">
        <v>22366</v>
      </c>
      <c r="M115" s="84">
        <v>22484</v>
      </c>
      <c r="N115" s="134">
        <v>26432</v>
      </c>
    </row>
    <row r="116" spans="1:14" x14ac:dyDescent="0.25">
      <c r="A116" s="119" t="s">
        <v>10</v>
      </c>
      <c r="B116" s="134">
        <f>'BASTIA 2014'!BU12+'BASTIA 2014'!BU29</f>
        <v>58180.799999999996</v>
      </c>
      <c r="C116" s="134">
        <f>'BASTIA 2015'!BU12+'BASTIA 2015'!BU29</f>
        <v>60120.160000000003</v>
      </c>
      <c r="D116" s="134">
        <f>'BASTIA 2016'!BU12+'BASTIA 2016'!BU12</f>
        <v>65938.239999999991</v>
      </c>
      <c r="E116" s="134">
        <f>'BASTIA 2017'!BU12+'BASTIA 2017'!BU12</f>
        <v>75635.039999999994</v>
      </c>
      <c r="F116" s="127">
        <f t="shared" si="83"/>
        <v>64968.56</v>
      </c>
      <c r="G116" s="127">
        <f t="shared" si="84"/>
        <v>7837.830126389088</v>
      </c>
      <c r="H116" s="127">
        <f t="shared" si="85"/>
        <v>7837.830126389088</v>
      </c>
      <c r="J116" s="119" t="s">
        <v>11</v>
      </c>
      <c r="K116" s="84">
        <v>16503</v>
      </c>
      <c r="L116" s="84">
        <v>19698</v>
      </c>
      <c r="M116" s="84">
        <v>16611</v>
      </c>
      <c r="N116" s="134">
        <v>16709</v>
      </c>
    </row>
    <row r="117" spans="1:14" x14ac:dyDescent="0.25">
      <c r="A117" s="119" t="s">
        <v>11</v>
      </c>
      <c r="B117" s="134">
        <f>'BASTIA 2014'!BU13+'BASTIA 2014'!BU30</f>
        <v>61089.84</v>
      </c>
      <c r="C117" s="134">
        <f>'BASTIA 2015'!BU13+'BASTIA 2015'!BU30</f>
        <v>71756.319999999992</v>
      </c>
      <c r="D117" s="134">
        <f>'BASTIA 2016'!BU13+'BASTIA 2016'!BU13</f>
        <v>62059.519999999997</v>
      </c>
      <c r="E117" s="134">
        <f>'BASTIA 2017'!BU13+'BASTIA 2017'!BU13</f>
        <v>71756.319999999992</v>
      </c>
      <c r="F117" s="127">
        <f t="shared" si="83"/>
        <v>66665.499999999985</v>
      </c>
      <c r="G117" s="127">
        <f t="shared" si="84"/>
        <v>5891.6871590628971</v>
      </c>
      <c r="H117" s="127">
        <f t="shared" si="85"/>
        <v>5891.6871590628971</v>
      </c>
      <c r="J117" s="119" t="s">
        <v>12</v>
      </c>
      <c r="K117" s="84">
        <v>8593</v>
      </c>
      <c r="L117" s="84">
        <v>8304</v>
      </c>
      <c r="M117" s="84">
        <v>7894</v>
      </c>
      <c r="N117" s="84"/>
    </row>
    <row r="118" spans="1:14" ht="15.75" thickBot="1" x14ac:dyDescent="0.3">
      <c r="A118" s="119" t="s">
        <v>12</v>
      </c>
      <c r="B118" s="134">
        <f>'BASTIA 2014'!BU14+'BASTIA 2014'!BU31</f>
        <v>24755.359999999997</v>
      </c>
      <c r="C118" s="134">
        <f>'BASTIA 2015'!BU14+'BASTIA 2015'!BU31</f>
        <v>25154.639999999996</v>
      </c>
      <c r="D118" s="134">
        <f>'BASTIA 2016'!BU14+'BASTIA 2016'!BU14</f>
        <v>23956.799999999999</v>
      </c>
      <c r="E118" s="134"/>
      <c r="F118" s="127">
        <f t="shared" si="83"/>
        <v>24622.266666666663</v>
      </c>
      <c r="G118" s="127">
        <f t="shared" si="84"/>
        <v>609.91027449398746</v>
      </c>
      <c r="H118" s="127">
        <f t="shared" si="85"/>
        <v>609.91027449398746</v>
      </c>
      <c r="J118" s="119" t="s">
        <v>13</v>
      </c>
      <c r="K118" s="84">
        <v>12808</v>
      </c>
      <c r="L118" s="84">
        <v>11555</v>
      </c>
      <c r="M118" s="159">
        <v>9435</v>
      </c>
      <c r="N118" s="159"/>
    </row>
    <row r="119" spans="1:14" ht="16.5" thickTop="1" thickBot="1" x14ac:dyDescent="0.3">
      <c r="A119" s="119" t="s">
        <v>13</v>
      </c>
      <c r="B119" s="134">
        <f>'BASTIA 2014'!BU15+'BASTIA 2014'!BU32</f>
        <v>26352.479999999996</v>
      </c>
      <c r="C119" s="134">
        <f>'BASTIA 2015'!BU15+'BASTIA 2015'!BU32</f>
        <v>25953.199999999997</v>
      </c>
      <c r="D119" s="134">
        <f>'BASTIA 2016'!BU15+'BASTIA 2016'!BU15</f>
        <v>24755.360000000001</v>
      </c>
      <c r="E119" s="134"/>
      <c r="F119" s="127">
        <f t="shared" si="83"/>
        <v>25687.013333333332</v>
      </c>
      <c r="G119" s="127">
        <f t="shared" si="84"/>
        <v>831.16760026683505</v>
      </c>
      <c r="H119" s="127">
        <f t="shared" si="85"/>
        <v>831.16760026683505</v>
      </c>
      <c r="J119" s="128" t="s">
        <v>0</v>
      </c>
      <c r="K119" s="129">
        <f>SUM(K107:K118)</f>
        <v>201660</v>
      </c>
      <c r="L119" s="129">
        <f>SUM(L107:L118)</f>
        <v>191402</v>
      </c>
      <c r="M119" s="129">
        <f>SUM(M107:M118)</f>
        <v>189581</v>
      </c>
      <c r="N119" s="129">
        <f>SUM(N107:N118)</f>
        <v>184901</v>
      </c>
    </row>
    <row r="120" spans="1:14" ht="16.5" thickTop="1" thickBot="1" x14ac:dyDescent="0.3">
      <c r="A120" s="128" t="s">
        <v>0</v>
      </c>
      <c r="B120" s="129">
        <f t="shared" ref="B120:D120" si="86">SUM(B108:B119)</f>
        <v>548724.79999999993</v>
      </c>
      <c r="C120" s="129">
        <f t="shared" si="86"/>
        <v>568916.95999999985</v>
      </c>
      <c r="D120" s="129">
        <f t="shared" si="86"/>
        <v>582720.64</v>
      </c>
      <c r="E120" s="129">
        <f>SUM(E108:E119)</f>
        <v>579640.47999999986</v>
      </c>
      <c r="F120" s="111"/>
      <c r="G120" s="112"/>
      <c r="H120" s="112"/>
    </row>
    <row r="121" spans="1:14" ht="15.75" thickTop="1" x14ac:dyDescent="0.25">
      <c r="A121" s="136" t="s">
        <v>72</v>
      </c>
      <c r="B121" s="136"/>
      <c r="C121" s="136"/>
      <c r="D121" s="136"/>
      <c r="E121" s="136"/>
      <c r="F121" s="127"/>
    </row>
    <row r="122" spans="1:14" x14ac:dyDescent="0.25">
      <c r="A122" s="130" t="s">
        <v>15</v>
      </c>
      <c r="B122" s="127">
        <f t="shared" ref="B122:E122" si="87">AVERAGE(B108:B110,B117:B119)</f>
        <v>32142.039999999997</v>
      </c>
      <c r="C122" s="127">
        <f t="shared" si="87"/>
        <v>32921.586666666662</v>
      </c>
      <c r="D122" s="127">
        <f t="shared" si="87"/>
        <v>31505.093333333334</v>
      </c>
      <c r="E122" s="127">
        <f t="shared" si="87"/>
        <v>36305.959999999992</v>
      </c>
      <c r="F122" s="127">
        <f>AVERAGE(B122:D122)</f>
        <v>32189.573333333334</v>
      </c>
      <c r="G122" s="122"/>
      <c r="H122" s="131"/>
    </row>
    <row r="123" spans="1:14" x14ac:dyDescent="0.25">
      <c r="A123" s="130" t="s">
        <v>16</v>
      </c>
      <c r="B123" s="127">
        <f t="shared" ref="B123:E123" si="88">AVERAGE(B111:B116)</f>
        <v>59312.093333333331</v>
      </c>
      <c r="C123" s="127">
        <f t="shared" si="88"/>
        <v>61897.906666666655</v>
      </c>
      <c r="D123" s="127">
        <f t="shared" si="88"/>
        <v>65615.013333333321</v>
      </c>
      <c r="E123" s="127">
        <f t="shared" si="88"/>
        <v>72402.773333333331</v>
      </c>
      <c r="F123" s="127">
        <f>AVERAGE(B123:D123)</f>
        <v>62275.004444444436</v>
      </c>
      <c r="G123" s="122"/>
    </row>
    <row r="124" spans="1:14" ht="15.75" thickBot="1" x14ac:dyDescent="0.3"/>
    <row r="125" spans="1:14" ht="17.25" thickTop="1" thickBot="1" x14ac:dyDescent="0.3">
      <c r="A125" s="140" t="s">
        <v>137</v>
      </c>
      <c r="B125" s="141"/>
      <c r="C125" s="141"/>
      <c r="D125" s="141"/>
      <c r="E125" s="141"/>
      <c r="J125" s="140" t="s">
        <v>189</v>
      </c>
      <c r="K125" s="141"/>
      <c r="L125" s="141"/>
      <c r="M125" s="141"/>
      <c r="N125" s="141"/>
    </row>
    <row r="126" spans="1:14" ht="16.5" thickTop="1" x14ac:dyDescent="0.25">
      <c r="A126" s="124"/>
      <c r="B126" s="125">
        <v>2014</v>
      </c>
      <c r="C126" s="125">
        <v>2015</v>
      </c>
      <c r="D126" s="125">
        <v>2016</v>
      </c>
      <c r="E126" s="125">
        <v>2017</v>
      </c>
      <c r="J126" s="124"/>
      <c r="K126" s="125">
        <v>2014</v>
      </c>
      <c r="L126" s="125">
        <v>2015</v>
      </c>
      <c r="M126" s="125">
        <v>2016</v>
      </c>
      <c r="N126" s="125">
        <v>2017</v>
      </c>
    </row>
    <row r="127" spans="1:14" x14ac:dyDescent="0.25">
      <c r="A127" s="119" t="s">
        <v>2</v>
      </c>
      <c r="B127" s="163">
        <f>K127*Générale!$B$4</f>
        <v>6567</v>
      </c>
      <c r="C127" s="163">
        <f>L127*Générale!$B$4</f>
        <v>6378</v>
      </c>
      <c r="D127" s="163">
        <f>M127*Générale!$B$4</f>
        <v>9213</v>
      </c>
      <c r="E127" s="163">
        <f>N127*Générale!$B$4</f>
        <v>6483</v>
      </c>
      <c r="J127" s="119" t="s">
        <v>2</v>
      </c>
      <c r="K127" s="163">
        <v>2189</v>
      </c>
      <c r="L127" s="163">
        <v>2126</v>
      </c>
      <c r="M127" s="163">
        <v>3071</v>
      </c>
      <c r="N127" s="163">
        <v>2161</v>
      </c>
    </row>
    <row r="128" spans="1:14" x14ac:dyDescent="0.25">
      <c r="A128" s="119" t="s">
        <v>3</v>
      </c>
      <c r="B128" s="163">
        <f>K128*Générale!$B$4</f>
        <v>4275</v>
      </c>
      <c r="C128" s="163">
        <f>L128*Générale!$B$4</f>
        <v>5631</v>
      </c>
      <c r="D128" s="163">
        <f>M128*Générale!$B$4</f>
        <v>7722</v>
      </c>
      <c r="E128" s="163">
        <f>N128*Générale!$B$4</f>
        <v>6483</v>
      </c>
      <c r="J128" s="119" t="s">
        <v>3</v>
      </c>
      <c r="K128" s="163">
        <v>1425</v>
      </c>
      <c r="L128" s="163">
        <v>1877</v>
      </c>
      <c r="M128" s="163">
        <v>2574</v>
      </c>
      <c r="N128" s="163">
        <v>2161</v>
      </c>
    </row>
    <row r="129" spans="1:22" x14ac:dyDescent="0.25">
      <c r="A129" s="119" t="s">
        <v>4</v>
      </c>
      <c r="B129" s="163">
        <f>K129*Générale!$B$4</f>
        <v>6339</v>
      </c>
      <c r="C129" s="163">
        <f>L129*Générale!$B$4</f>
        <v>5850</v>
      </c>
      <c r="D129" s="163">
        <f>M129*Générale!$B$4</f>
        <v>9138</v>
      </c>
      <c r="E129" s="163">
        <f>N129*Générale!$B$4</f>
        <v>9381</v>
      </c>
      <c r="J129" s="119" t="s">
        <v>4</v>
      </c>
      <c r="K129" s="163">
        <v>2113</v>
      </c>
      <c r="L129" s="163">
        <v>1950</v>
      </c>
      <c r="M129" s="163">
        <v>3046</v>
      </c>
      <c r="N129" s="163">
        <v>3127</v>
      </c>
    </row>
    <row r="130" spans="1:22" x14ac:dyDescent="0.25">
      <c r="A130" s="119" t="s">
        <v>5</v>
      </c>
      <c r="B130" s="163">
        <f>K130*Générale!$B$4</f>
        <v>16644</v>
      </c>
      <c r="C130" s="163">
        <f>L130*Générale!$B$4</f>
        <v>21540</v>
      </c>
      <c r="D130" s="163">
        <f>M130*Générale!$B$4</f>
        <v>26811</v>
      </c>
      <c r="E130" s="163">
        <f>N130*Générale!$B$4</f>
        <v>20535</v>
      </c>
      <c r="J130" s="119" t="s">
        <v>5</v>
      </c>
      <c r="K130" s="163">
        <v>5548</v>
      </c>
      <c r="L130" s="163">
        <v>7180</v>
      </c>
      <c r="M130" s="163">
        <v>8937</v>
      </c>
      <c r="N130" s="163">
        <v>6845</v>
      </c>
    </row>
    <row r="131" spans="1:22" x14ac:dyDescent="0.25">
      <c r="A131" s="119" t="s">
        <v>6</v>
      </c>
      <c r="B131" s="163">
        <f>K131*Générale!$B$4</f>
        <v>26472</v>
      </c>
      <c r="C131" s="163">
        <f>L131*Générale!$B$4</f>
        <v>38826</v>
      </c>
      <c r="D131" s="163">
        <f>M131*Générale!$B$4</f>
        <v>29718</v>
      </c>
      <c r="E131" s="163">
        <f>N131*Générale!$B$4</f>
        <v>31779</v>
      </c>
      <c r="J131" s="119" t="s">
        <v>6</v>
      </c>
      <c r="K131" s="163">
        <v>8824</v>
      </c>
      <c r="L131" s="163">
        <v>12942</v>
      </c>
      <c r="M131" s="163">
        <v>9906</v>
      </c>
      <c r="N131" s="163">
        <v>10593</v>
      </c>
    </row>
    <row r="132" spans="1:22" x14ac:dyDescent="0.25">
      <c r="A132" s="119" t="s">
        <v>7</v>
      </c>
      <c r="B132" s="163">
        <f>K132*Générale!$B$4</f>
        <v>43371</v>
      </c>
      <c r="C132" s="163">
        <f>L132*Générale!$B$4</f>
        <v>41844</v>
      </c>
      <c r="D132" s="163">
        <f>M132*Générale!$B$4</f>
        <v>44472</v>
      </c>
      <c r="E132" s="163">
        <f>N132*Générale!$B$4</f>
        <v>51471</v>
      </c>
      <c r="J132" s="119" t="s">
        <v>7</v>
      </c>
      <c r="K132" s="163">
        <v>14457</v>
      </c>
      <c r="L132" s="163">
        <v>13948</v>
      </c>
      <c r="M132" s="163">
        <v>14824</v>
      </c>
      <c r="N132" s="163">
        <v>17157</v>
      </c>
    </row>
    <row r="133" spans="1:22" x14ac:dyDescent="0.25">
      <c r="A133" s="119" t="s">
        <v>8</v>
      </c>
      <c r="B133" s="163">
        <f>K133*Générale!$B$4</f>
        <v>78753</v>
      </c>
      <c r="C133" s="163">
        <f>L133*Générale!$B$4</f>
        <v>71031</v>
      </c>
      <c r="D133" s="163">
        <f>M133*Générale!$B$4</f>
        <v>104610</v>
      </c>
      <c r="E133" s="163">
        <f>N133*Générale!$B$4</f>
        <v>85524</v>
      </c>
      <c r="J133" s="119" t="s">
        <v>8</v>
      </c>
      <c r="K133" s="163">
        <v>26251</v>
      </c>
      <c r="L133" s="163">
        <v>23677</v>
      </c>
      <c r="M133" s="163">
        <v>34870</v>
      </c>
      <c r="N133" s="163">
        <v>28508</v>
      </c>
    </row>
    <row r="134" spans="1:22" x14ac:dyDescent="0.25">
      <c r="A134" s="119" t="s">
        <v>9</v>
      </c>
      <c r="B134" s="163">
        <f>K134*Générale!$B$4</f>
        <v>95247</v>
      </c>
      <c r="C134" s="163">
        <f>L134*Générale!$B$4</f>
        <v>84567</v>
      </c>
      <c r="D134" s="163">
        <f>M134*Générale!$B$4</f>
        <v>116799</v>
      </c>
      <c r="E134" s="163">
        <f>N134*Générale!$B$4</f>
        <v>120348</v>
      </c>
      <c r="J134" s="119" t="s">
        <v>9</v>
      </c>
      <c r="K134" s="163">
        <v>31749</v>
      </c>
      <c r="L134" s="163">
        <v>28189</v>
      </c>
      <c r="M134" s="163">
        <v>38933</v>
      </c>
      <c r="N134" s="163">
        <v>40116</v>
      </c>
    </row>
    <row r="135" spans="1:22" x14ac:dyDescent="0.25">
      <c r="A135" s="119" t="s">
        <v>10</v>
      </c>
      <c r="B135" s="163">
        <f>K135*Générale!$B$4</f>
        <v>47859</v>
      </c>
      <c r="C135" s="163">
        <f>L135*Générale!$B$4</f>
        <v>55815</v>
      </c>
      <c r="D135" s="163">
        <f>M135*Générale!$B$4</f>
        <v>55350</v>
      </c>
      <c r="E135" s="163">
        <f>N135*Générale!$B$4</f>
        <v>56361</v>
      </c>
      <c r="J135" s="119" t="s">
        <v>10</v>
      </c>
      <c r="K135" s="163">
        <v>15953</v>
      </c>
      <c r="L135" s="163">
        <v>18605</v>
      </c>
      <c r="M135" s="163">
        <v>18450</v>
      </c>
      <c r="N135" s="163">
        <v>18787</v>
      </c>
    </row>
    <row r="136" spans="1:22" x14ac:dyDescent="0.25">
      <c r="A136" s="119" t="s">
        <v>11</v>
      </c>
      <c r="B136" s="163">
        <f>K136*Générale!$B$4</f>
        <v>21231</v>
      </c>
      <c r="C136" s="163">
        <f>L136*Générale!$B$4</f>
        <v>22128</v>
      </c>
      <c r="D136" s="163">
        <f>M136*Générale!$B$4</f>
        <v>21471</v>
      </c>
      <c r="E136" s="163">
        <f>N136*Générale!$B$4</f>
        <v>20949</v>
      </c>
      <c r="J136" s="119" t="s">
        <v>11</v>
      </c>
      <c r="K136" s="163">
        <v>7077</v>
      </c>
      <c r="L136" s="163">
        <v>7376</v>
      </c>
      <c r="M136" s="163">
        <v>7157</v>
      </c>
      <c r="N136" s="163">
        <v>6983</v>
      </c>
    </row>
    <row r="137" spans="1:22" x14ac:dyDescent="0.25">
      <c r="A137" s="119" t="s">
        <v>12</v>
      </c>
      <c r="B137" s="163">
        <f>K137*Générale!$B$4</f>
        <v>7635</v>
      </c>
      <c r="C137" s="163">
        <f>L137*Générale!$B$4</f>
        <v>8154</v>
      </c>
      <c r="D137" s="163">
        <f>M137*Générale!$B$4</f>
        <v>8643</v>
      </c>
      <c r="E137" s="163">
        <f>N137*Générale!$B$4</f>
        <v>0</v>
      </c>
      <c r="J137" s="119" t="s">
        <v>12</v>
      </c>
      <c r="K137" s="163">
        <v>2545</v>
      </c>
      <c r="L137" s="163">
        <v>2718</v>
      </c>
      <c r="M137" s="163">
        <v>2881</v>
      </c>
      <c r="N137" s="163"/>
    </row>
    <row r="138" spans="1:22" ht="15.75" thickBot="1" x14ac:dyDescent="0.3">
      <c r="A138" s="119" t="s">
        <v>13</v>
      </c>
      <c r="B138" s="163">
        <f>K138*Générale!$B$4</f>
        <v>6033</v>
      </c>
      <c r="C138" s="163">
        <f>L138*Générale!$B$4</f>
        <v>10578</v>
      </c>
      <c r="D138" s="163">
        <f>M138*Générale!$B$4</f>
        <v>10830</v>
      </c>
      <c r="E138" s="163">
        <f>N138*Générale!$B$4</f>
        <v>0</v>
      </c>
      <c r="J138" s="119" t="s">
        <v>13</v>
      </c>
      <c r="K138" s="163">
        <v>2011</v>
      </c>
      <c r="L138" s="163">
        <v>3526</v>
      </c>
      <c r="M138" s="163">
        <v>3610</v>
      </c>
      <c r="N138" s="163"/>
    </row>
    <row r="139" spans="1:22" ht="16.5" thickTop="1" thickBot="1" x14ac:dyDescent="0.3">
      <c r="A139" s="128" t="s">
        <v>0</v>
      </c>
      <c r="B139" s="137">
        <f t="shared" ref="B139:C139" si="89">SUM(B127:B138)</f>
        <v>360426</v>
      </c>
      <c r="C139" s="137">
        <f t="shared" si="89"/>
        <v>372342</v>
      </c>
      <c r="D139" s="137">
        <f>SUM(D127:D138)</f>
        <v>444777</v>
      </c>
      <c r="E139" s="137">
        <f>SUM(E127:E138)</f>
        <v>409314</v>
      </c>
      <c r="J139" s="128" t="s">
        <v>0</v>
      </c>
      <c r="K139" s="129">
        <f>SUM(K128:K138)</f>
        <v>117953</v>
      </c>
      <c r="L139" s="129">
        <f>SUM(L127:L138)</f>
        <v>124114</v>
      </c>
      <c r="M139" s="129">
        <f>SUM(M128:M138)</f>
        <v>145188</v>
      </c>
      <c r="N139" s="129">
        <f>SUM(N128:N138)</f>
        <v>134277</v>
      </c>
    </row>
    <row r="140" spans="1:22" ht="15.75" thickTop="1" x14ac:dyDescent="0.25">
      <c r="A140" s="136" t="s">
        <v>14</v>
      </c>
      <c r="B140" s="136"/>
      <c r="C140" s="136"/>
      <c r="D140" s="136"/>
      <c r="E140" s="136"/>
      <c r="J140" s="136" t="s">
        <v>14</v>
      </c>
      <c r="K140" s="136"/>
      <c r="L140" s="136"/>
      <c r="M140" s="136"/>
      <c r="N140" s="136"/>
    </row>
    <row r="141" spans="1:22" ht="15.75" thickBot="1" x14ac:dyDescent="0.3"/>
    <row r="142" spans="1:22" ht="17.25" thickTop="1" thickBot="1" x14ac:dyDescent="0.3">
      <c r="A142" s="140" t="s">
        <v>220</v>
      </c>
      <c r="B142" s="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6.5" thickTop="1" x14ac:dyDescent="0.25">
      <c r="A143" s="124"/>
      <c r="B143" s="125">
        <v>2014</v>
      </c>
      <c r="C143" s="125">
        <v>2015</v>
      </c>
      <c r="D143" s="125">
        <v>2016</v>
      </c>
      <c r="E143" s="125">
        <v>2017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x14ac:dyDescent="0.25">
      <c r="A144" s="119" t="s">
        <v>2</v>
      </c>
      <c r="B144" s="163">
        <f>B161*Générale!$B$4</f>
        <v>27891</v>
      </c>
      <c r="C144" s="163">
        <f>C161*Générale!$B$4</f>
        <v>31854</v>
      </c>
      <c r="D144" s="163">
        <f>D161*Générale!$B$4</f>
        <v>40434</v>
      </c>
      <c r="E144" s="163">
        <f>E161*Générale!$B$4</f>
        <v>33393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x14ac:dyDescent="0.25">
      <c r="A145" s="119" t="s">
        <v>3</v>
      </c>
      <c r="B145" s="163">
        <f>B162*Générale!$B$4</f>
        <v>27381</v>
      </c>
      <c r="C145" s="163">
        <f>C162*Générale!$B$4</f>
        <v>25881</v>
      </c>
      <c r="D145" s="163">
        <f>D162*Générale!$B$4</f>
        <v>29439</v>
      </c>
      <c r="E145" s="163">
        <f>E162*Générale!$B$4</f>
        <v>27567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x14ac:dyDescent="0.25">
      <c r="A146" s="119" t="s">
        <v>4</v>
      </c>
      <c r="B146" s="163">
        <f>B163*Générale!$B$4</f>
        <v>29955</v>
      </c>
      <c r="C146" s="163">
        <f>C163*Générale!$B$4</f>
        <v>28518</v>
      </c>
      <c r="D146" s="163">
        <f>D163*Générale!$B$4</f>
        <v>37260</v>
      </c>
      <c r="E146" s="163">
        <f>E163*Générale!$B$4</f>
        <v>31911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x14ac:dyDescent="0.25">
      <c r="A147" s="119" t="s">
        <v>5</v>
      </c>
      <c r="B147" s="163">
        <f>B164*Générale!$B$4</f>
        <v>46485</v>
      </c>
      <c r="C147" s="163">
        <f>C164*Générale!$B$4</f>
        <v>57546</v>
      </c>
      <c r="D147" s="163">
        <f>D164*Générale!$B$4</f>
        <v>77100</v>
      </c>
      <c r="E147" s="163">
        <f>E164*Générale!$B$4</f>
        <v>60377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x14ac:dyDescent="0.25">
      <c r="A148" s="119" t="s">
        <v>6</v>
      </c>
      <c r="B148" s="163">
        <f>B165*Générale!$B$4</f>
        <v>61749</v>
      </c>
      <c r="C148" s="163">
        <f>C165*Générale!$B$4</f>
        <v>76929</v>
      </c>
      <c r="D148" s="163">
        <f>D165*Générale!$B$4</f>
        <v>62721</v>
      </c>
      <c r="E148" s="163">
        <f>E165*Générale!$B$4</f>
        <v>67133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x14ac:dyDescent="0.25">
      <c r="A149" s="119" t="s">
        <v>7</v>
      </c>
      <c r="B149" s="163">
        <f>B166*Générale!$B$4</f>
        <v>81381</v>
      </c>
      <c r="C149" s="163">
        <f>C166*Générale!$B$4</f>
        <v>91491</v>
      </c>
      <c r="D149" s="163">
        <f>D166*Générale!$B$4</f>
        <v>121590</v>
      </c>
      <c r="E149" s="163">
        <f>E166*Générale!$B$4</f>
        <v>98154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x14ac:dyDescent="0.25">
      <c r="A150" s="119" t="s">
        <v>8</v>
      </c>
      <c r="B150" s="163">
        <f>B167*Générale!$B$4</f>
        <v>113001</v>
      </c>
      <c r="C150" s="163">
        <f>C167*Générale!$B$4</f>
        <v>99102</v>
      </c>
      <c r="D150" s="163">
        <f>D167*Générale!$B$4</f>
        <v>192789</v>
      </c>
      <c r="E150" s="163">
        <f>E167*Générale!$B$4</f>
        <v>134964</v>
      </c>
    </row>
    <row r="151" spans="1:22" x14ac:dyDescent="0.25">
      <c r="A151" s="119" t="s">
        <v>9</v>
      </c>
      <c r="B151" s="163">
        <f>B168*Générale!$B$4</f>
        <v>120141</v>
      </c>
      <c r="C151" s="163">
        <f>C168*Générale!$B$4</f>
        <v>93777</v>
      </c>
      <c r="D151" s="163">
        <f>D168*Générale!$B$4</f>
        <v>156513</v>
      </c>
      <c r="E151" s="163">
        <f>E168*Générale!$B$4</f>
        <v>123477</v>
      </c>
    </row>
    <row r="152" spans="1:22" x14ac:dyDescent="0.25">
      <c r="A152" s="119" t="s">
        <v>10</v>
      </c>
      <c r="B152" s="163">
        <f>B169*Générale!$B$4</f>
        <v>82299</v>
      </c>
      <c r="C152" s="163">
        <f>C169*Générale!$B$4</f>
        <v>88620</v>
      </c>
      <c r="D152" s="163">
        <f>D169*Générale!$B$4</f>
        <v>85923</v>
      </c>
      <c r="E152" s="163">
        <f>E169*Générale!$B$4</f>
        <v>85614</v>
      </c>
    </row>
    <row r="153" spans="1:22" x14ac:dyDescent="0.25">
      <c r="A153" s="119" t="s">
        <v>11</v>
      </c>
      <c r="B153" s="163">
        <f>B170*Générale!$B$4</f>
        <v>43206</v>
      </c>
      <c r="C153" s="163">
        <f>C170*Générale!$B$4</f>
        <v>49308</v>
      </c>
      <c r="D153" s="163">
        <f>D170*Générale!$B$4</f>
        <v>40905</v>
      </c>
      <c r="E153" s="163">
        <f>E170*Générale!$B$4</f>
        <v>44473</v>
      </c>
    </row>
    <row r="154" spans="1:22" x14ac:dyDescent="0.25">
      <c r="A154" s="119" t="s">
        <v>12</v>
      </c>
      <c r="B154" s="163">
        <f>B171*Générale!$B$4</f>
        <v>25779</v>
      </c>
      <c r="C154" s="163">
        <f>C171*Générale!$B$4</f>
        <v>32829</v>
      </c>
      <c r="D154" s="163">
        <f>D171*Générale!$B$4</f>
        <v>47238</v>
      </c>
      <c r="E154" s="163">
        <f>E171*Générale!$B$4</f>
        <v>0</v>
      </c>
    </row>
    <row r="155" spans="1:22" ht="15.75" thickBot="1" x14ac:dyDescent="0.3">
      <c r="A155" s="139" t="s">
        <v>13</v>
      </c>
      <c r="B155" s="163">
        <f>B172*Générale!$B$4</f>
        <v>28857</v>
      </c>
      <c r="C155" s="163">
        <f>C172*Générale!$B$4</f>
        <v>34254</v>
      </c>
      <c r="D155" s="163">
        <f>D172*Générale!$B$4</f>
        <v>50793</v>
      </c>
      <c r="E155" s="163">
        <f>E172*Générale!$B$4</f>
        <v>0</v>
      </c>
    </row>
    <row r="156" spans="1:22" ht="16.5" thickTop="1" thickBot="1" x14ac:dyDescent="0.3">
      <c r="A156" s="138" t="s">
        <v>0</v>
      </c>
      <c r="B156" s="137">
        <f t="shared" ref="B156:D156" si="90">SUM(B144:B155)</f>
        <v>688125</v>
      </c>
      <c r="C156" s="137">
        <f t="shared" si="90"/>
        <v>710109</v>
      </c>
      <c r="D156" s="137">
        <f t="shared" si="90"/>
        <v>942705</v>
      </c>
      <c r="E156" s="137">
        <f>SUM(E144:E155)</f>
        <v>707063</v>
      </c>
    </row>
    <row r="157" spans="1:22" ht="15.75" thickTop="1" x14ac:dyDescent="0.25">
      <c r="A157" s="1" t="s">
        <v>132</v>
      </c>
      <c r="B157" s="1"/>
    </row>
    <row r="158" spans="1:22" ht="15.75" thickBot="1" x14ac:dyDescent="0.3"/>
    <row r="159" spans="1:22" ht="17.25" thickTop="1" thickBot="1" x14ac:dyDescent="0.3">
      <c r="A159" s="140" t="s">
        <v>192</v>
      </c>
      <c r="B159" s="142"/>
    </row>
    <row r="160" spans="1:22" ht="16.5" thickTop="1" x14ac:dyDescent="0.25">
      <c r="A160" s="124"/>
      <c r="B160" s="125">
        <v>2014</v>
      </c>
      <c r="C160" s="125">
        <v>2015</v>
      </c>
      <c r="D160" s="125">
        <v>2016</v>
      </c>
      <c r="E160" s="125">
        <v>2017</v>
      </c>
    </row>
    <row r="161" spans="1:5" x14ac:dyDescent="0.25">
      <c r="A161" s="119" t="s">
        <v>2</v>
      </c>
      <c r="B161" s="163">
        <v>9297</v>
      </c>
      <c r="C161" s="163">
        <v>10618</v>
      </c>
      <c r="D161" s="163">
        <v>13478</v>
      </c>
      <c r="E161" s="180">
        <f>AVERAGE(A161:D161)</f>
        <v>11131</v>
      </c>
    </row>
    <row r="162" spans="1:5" x14ac:dyDescent="0.25">
      <c r="A162" s="119" t="s">
        <v>3</v>
      </c>
      <c r="B162" s="163">
        <v>9127</v>
      </c>
      <c r="C162" s="163">
        <v>8627</v>
      </c>
      <c r="D162" s="163">
        <v>9813</v>
      </c>
      <c r="E162" s="180">
        <f t="shared" ref="E162:E170" si="91">AVERAGE(A162:D162)</f>
        <v>9189</v>
      </c>
    </row>
    <row r="163" spans="1:5" x14ac:dyDescent="0.25">
      <c r="A163" s="119" t="s">
        <v>4</v>
      </c>
      <c r="B163" s="177">
        <f>9710+275</f>
        <v>9985</v>
      </c>
      <c r="C163" s="163">
        <v>9506</v>
      </c>
      <c r="D163" s="163">
        <v>12420</v>
      </c>
      <c r="E163" s="180">
        <f t="shared" si="91"/>
        <v>10637</v>
      </c>
    </row>
    <row r="164" spans="1:5" x14ac:dyDescent="0.25">
      <c r="A164" s="119" t="s">
        <v>5</v>
      </c>
      <c r="B164" s="163">
        <v>15495</v>
      </c>
      <c r="C164" s="163">
        <v>19182</v>
      </c>
      <c r="D164" s="163">
        <v>25700</v>
      </c>
      <c r="E164" s="180">
        <f t="shared" si="91"/>
        <v>20125.666666666668</v>
      </c>
    </row>
    <row r="165" spans="1:5" x14ac:dyDescent="0.25">
      <c r="A165" s="119" t="s">
        <v>6</v>
      </c>
      <c r="B165" s="163">
        <v>20583</v>
      </c>
      <c r="C165" s="163">
        <v>25643</v>
      </c>
      <c r="D165" s="163">
        <v>20907</v>
      </c>
      <c r="E165" s="180">
        <f t="shared" si="91"/>
        <v>22377.666666666668</v>
      </c>
    </row>
    <row r="166" spans="1:5" x14ac:dyDescent="0.25">
      <c r="A166" s="119" t="s">
        <v>7</v>
      </c>
      <c r="B166" s="163">
        <v>27127</v>
      </c>
      <c r="C166" s="163">
        <v>30497</v>
      </c>
      <c r="D166" s="177">
        <f>24880+15650</f>
        <v>40530</v>
      </c>
      <c r="E166" s="180">
        <f t="shared" si="91"/>
        <v>32718</v>
      </c>
    </row>
    <row r="167" spans="1:5" x14ac:dyDescent="0.25">
      <c r="A167" s="119" t="s">
        <v>8</v>
      </c>
      <c r="B167" s="163">
        <f>32577+5090</f>
        <v>37667</v>
      </c>
      <c r="C167" s="163">
        <v>33034</v>
      </c>
      <c r="D167" s="177">
        <f>42963+21300</f>
        <v>64263</v>
      </c>
      <c r="E167" s="180">
        <f t="shared" si="91"/>
        <v>44988</v>
      </c>
    </row>
    <row r="168" spans="1:5" x14ac:dyDescent="0.25">
      <c r="A168" s="119" t="s">
        <v>9</v>
      </c>
      <c r="B168" s="163">
        <f>32130+7917</f>
        <v>40047</v>
      </c>
      <c r="C168" s="163">
        <v>31259</v>
      </c>
      <c r="D168" s="177">
        <f>43271+8900</f>
        <v>52171</v>
      </c>
      <c r="E168" s="180">
        <f t="shared" si="91"/>
        <v>41159</v>
      </c>
    </row>
    <row r="169" spans="1:5" x14ac:dyDescent="0.25">
      <c r="A169" s="119" t="s">
        <v>10</v>
      </c>
      <c r="B169" s="163">
        <v>27433</v>
      </c>
      <c r="C169" s="163">
        <v>29540</v>
      </c>
      <c r="D169" s="163">
        <v>28641</v>
      </c>
      <c r="E169" s="180">
        <f t="shared" si="91"/>
        <v>28538</v>
      </c>
    </row>
    <row r="170" spans="1:5" x14ac:dyDescent="0.25">
      <c r="A170" s="119" t="s">
        <v>11</v>
      </c>
      <c r="B170" s="163">
        <v>14402</v>
      </c>
      <c r="C170" s="163">
        <v>16436</v>
      </c>
      <c r="D170" s="163">
        <v>13635</v>
      </c>
      <c r="E170" s="180">
        <f t="shared" si="91"/>
        <v>14824.333333333334</v>
      </c>
    </row>
    <row r="171" spans="1:5" x14ac:dyDescent="0.25">
      <c r="A171" s="119" t="s">
        <v>12</v>
      </c>
      <c r="B171" s="163">
        <v>8593</v>
      </c>
      <c r="C171" s="163">
        <v>10943</v>
      </c>
      <c r="D171" s="163">
        <v>15746</v>
      </c>
      <c r="E171" s="180"/>
    </row>
    <row r="172" spans="1:5" ht="15.75" thickBot="1" x14ac:dyDescent="0.3">
      <c r="A172" s="139" t="s">
        <v>13</v>
      </c>
      <c r="B172" s="162">
        <v>9619</v>
      </c>
      <c r="C172" s="162">
        <v>11418</v>
      </c>
      <c r="D172" s="178">
        <f>14531+2400</f>
        <v>16931</v>
      </c>
      <c r="E172" s="180"/>
    </row>
    <row r="173" spans="1:5" ht="16.5" thickTop="1" thickBot="1" x14ac:dyDescent="0.3">
      <c r="A173" s="138" t="s">
        <v>0</v>
      </c>
      <c r="B173" s="137">
        <f t="shared" ref="B173:D173" si="92">SUM(B161:B172)</f>
        <v>229375</v>
      </c>
      <c r="C173" s="137">
        <f t="shared" si="92"/>
        <v>236703</v>
      </c>
      <c r="D173" s="137">
        <f t="shared" si="92"/>
        <v>314235</v>
      </c>
      <c r="E173" s="137">
        <f>SUM(E161:E172)</f>
        <v>235687.66666666669</v>
      </c>
    </row>
    <row r="174" spans="1:5" ht="15.75" thickTop="1" x14ac:dyDescent="0.25">
      <c r="A174" s="1" t="s">
        <v>132</v>
      </c>
      <c r="B174" s="1"/>
    </row>
  </sheetData>
  <mergeCells count="5">
    <mergeCell ref="A16:B16"/>
    <mergeCell ref="A35:F35"/>
    <mergeCell ref="A54:F54"/>
    <mergeCell ref="A157:B157"/>
    <mergeCell ref="A174:B174"/>
  </mergeCells>
  <conditionalFormatting sqref="T58:X70">
    <cfRule type="cellIs" dxfId="41" priority="6" operator="lessThan">
      <formula>0</formula>
    </cfRule>
  </conditionalFormatting>
  <conditionalFormatting sqref="T74:X86">
    <cfRule type="cellIs" dxfId="40" priority="5" operator="lessThan">
      <formula>0</formula>
    </cfRule>
  </conditionalFormatting>
  <conditionalFormatting sqref="AD58:AG70">
    <cfRule type="cellIs" dxfId="39" priority="4" operator="greaterThan">
      <formula>0</formula>
    </cfRule>
  </conditionalFormatting>
  <conditionalFormatting sqref="AD74:AG86">
    <cfRule type="cellIs" dxfId="38" priority="3" operator="greaterThan">
      <formula>0</formula>
    </cfRule>
  </conditionalFormatting>
  <conditionalFormatting sqref="AC22:AG34">
    <cfRule type="cellIs" dxfId="37" priority="8" operator="lessThan">
      <formula>0</formula>
    </cfRule>
  </conditionalFormatting>
  <conditionalFormatting sqref="AL3:AP16">
    <cfRule type="cellIs" dxfId="36" priority="7" operator="greaterThan">
      <formula>1</formula>
    </cfRule>
  </conditionalFormatting>
  <conditionalFormatting sqref="AC41:AF53">
    <cfRule type="cellIs" dxfId="35" priority="2" operator="greaterThan">
      <formula>0</formula>
    </cfRule>
  </conditionalFormatting>
  <conditionalFormatting sqref="T3:W14">
    <cfRule type="cellIs" dxfId="34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"/>
  <sheetViews>
    <sheetView topLeftCell="A91" zoomScale="78" zoomScaleNormal="78" workbookViewId="0">
      <selection activeCell="AF24" sqref="AF24"/>
    </sheetView>
  </sheetViews>
  <sheetFormatPr baseColWidth="10" defaultColWidth="11.42578125" defaultRowHeight="15" x14ac:dyDescent="0.25"/>
  <cols>
    <col min="1" max="9" width="11.42578125" style="117"/>
    <col min="10" max="10" width="13.5703125" style="117" customWidth="1"/>
    <col min="11" max="11" width="14.140625" style="117" customWidth="1"/>
    <col min="12" max="12" width="13.28515625" style="117" customWidth="1"/>
    <col min="13" max="13" width="12.7109375" style="117" customWidth="1"/>
    <col min="14" max="14" width="12.140625" style="117" customWidth="1"/>
    <col min="15" max="16384" width="11.42578125" style="117"/>
  </cols>
  <sheetData>
    <row r="1" spans="1:35" ht="17.25" thickTop="1" thickBot="1" x14ac:dyDescent="0.3">
      <c r="A1" s="140" t="s">
        <v>71</v>
      </c>
      <c r="B1" s="142"/>
      <c r="J1" s="140" t="s">
        <v>124</v>
      </c>
      <c r="K1" s="142"/>
      <c r="S1" s="140" t="s">
        <v>260</v>
      </c>
      <c r="T1" s="142"/>
      <c r="AB1" s="140" t="s">
        <v>105</v>
      </c>
      <c r="AC1" s="142"/>
    </row>
    <row r="2" spans="1:35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117" t="s">
        <v>74</v>
      </c>
      <c r="Q2" s="117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86" t="s">
        <v>74</v>
      </c>
      <c r="Z2" s="86" t="s">
        <v>75</v>
      </c>
      <c r="AB2" s="124"/>
      <c r="AC2" s="125">
        <v>2014</v>
      </c>
      <c r="AD2" s="125">
        <v>2015</v>
      </c>
      <c r="AE2" s="125">
        <v>2016</v>
      </c>
      <c r="AF2" s="125">
        <v>2017</v>
      </c>
      <c r="AG2" s="126" t="s">
        <v>1</v>
      </c>
      <c r="AH2" s="117" t="s">
        <v>74</v>
      </c>
      <c r="AI2" s="117" t="s">
        <v>75</v>
      </c>
    </row>
    <row r="3" spans="1:35" x14ac:dyDescent="0.25">
      <c r="A3" s="119" t="s">
        <v>2</v>
      </c>
      <c r="B3" s="132">
        <f>'ILE ROUSSE 2014'!AK4+'ILE ROUSSE 2014'!AK21</f>
        <v>0</v>
      </c>
      <c r="C3" s="132">
        <f>'ILE ROUSSE 2015'!AK4+'ILE ROUSSE 2015'!AK21</f>
        <v>1060</v>
      </c>
      <c r="D3" s="132">
        <f>'ILE ROUSSE 2016'!AK4+'ILE ROUSSE 2016'!AK21</f>
        <v>0</v>
      </c>
      <c r="E3" s="132">
        <f>'ILE ROUSSE 2017'!AK4+'ILE ROUSSE 2017'!AK21</f>
        <v>1896</v>
      </c>
      <c r="F3" s="127">
        <f t="shared" ref="F3:F14" si="0">AVERAGE(B3:E3)</f>
        <v>739</v>
      </c>
      <c r="G3" s="127">
        <f t="shared" ref="G3:G14" si="1">STDEVA(B3:E3)</f>
        <v>919.04515667076987</v>
      </c>
      <c r="H3" s="127">
        <f t="shared" ref="H3:H14" si="2">STDEVA(B3:E3)</f>
        <v>919.04515667076987</v>
      </c>
      <c r="J3" s="119" t="s">
        <v>2</v>
      </c>
      <c r="K3" s="41"/>
      <c r="L3" s="41">
        <f t="shared" ref="K3:N14" si="3">C22/C3</f>
        <v>8.9622641509433956E-2</v>
      </c>
      <c r="M3" s="41"/>
      <c r="N3" s="41">
        <f t="shared" si="3"/>
        <v>0.27742616033755274</v>
      </c>
      <c r="O3" s="122">
        <f>AVERAGE(K3:N3)</f>
        <v>0.18352440092349334</v>
      </c>
      <c r="P3" s="123">
        <f>MAX(K3:N3)</f>
        <v>0.27742616033755274</v>
      </c>
      <c r="Q3" s="123">
        <f>MIN(K3:N3)</f>
        <v>8.9622641509433956E-2</v>
      </c>
      <c r="S3" s="119" t="s">
        <v>2</v>
      </c>
      <c r="T3" s="41"/>
      <c r="U3" s="41">
        <f t="shared" ref="U3:U12" si="4">(C74+C58)/(C3+C106)</f>
        <v>0.33914913957934989</v>
      </c>
      <c r="V3" s="41"/>
      <c r="W3" s="41">
        <f>(E74+E58)/(E3+E106)</f>
        <v>0.28077848239667613</v>
      </c>
      <c r="X3" s="122">
        <f>AVERAGE(T3:W3)</f>
        <v>0.30996381098801301</v>
      </c>
      <c r="Y3" s="123">
        <f>MAX(T3:W3)</f>
        <v>0.33914913957934989</v>
      </c>
      <c r="Z3" s="123">
        <f>MIN(T3:W3)</f>
        <v>0.28077848239667613</v>
      </c>
      <c r="AB3" s="119" t="s">
        <v>2</v>
      </c>
      <c r="AC3" s="90">
        <f>('ILE ROUSSE 2014'!S4+'ILE ROUSSE 2014'!S21)/2</f>
        <v>0</v>
      </c>
      <c r="AD3" s="90">
        <f>('ILE ROUSSE 2015'!S4+'ILE ROUSSE 2015'!S21)/2</f>
        <v>0.22573363431151244</v>
      </c>
      <c r="AE3" s="90">
        <f>('ILE ROUSSE 2016'!S4+'ILE ROUSSE 2016'!S21)/2</f>
        <v>0</v>
      </c>
      <c r="AF3" s="90">
        <f>('ILE ROUSSE 2017'!S4+'ILE ROUSSE 2017'!S21)/2</f>
        <v>0.11286681715575622</v>
      </c>
      <c r="AG3" s="92">
        <f>AVERAGE(AC3:AF3)</f>
        <v>8.4650112866817173E-2</v>
      </c>
      <c r="AH3" s="135">
        <f>MAX(AC3:AF3)</f>
        <v>0.22573363431151244</v>
      </c>
      <c r="AI3" s="135">
        <f>MIN(AC3:AF3)</f>
        <v>0</v>
      </c>
    </row>
    <row r="4" spans="1:35" x14ac:dyDescent="0.25">
      <c r="A4" s="119" t="s">
        <v>3</v>
      </c>
      <c r="B4" s="132">
        <f>'ILE ROUSSE 2014'!AK5+'ILE ROUSSE 2014'!AK22</f>
        <v>1060</v>
      </c>
      <c r="C4" s="132">
        <f>'ILE ROUSSE 2015'!AK5+'ILE ROUSSE 2015'!AK22</f>
        <v>4240</v>
      </c>
      <c r="D4" s="132">
        <f>'ILE ROUSSE 2016'!AK5+'ILE ROUSSE 2016'!AK22</f>
        <v>0</v>
      </c>
      <c r="E4" s="132">
        <f>'ILE ROUSSE 2017'!AK5+'ILE ROUSSE 2017'!AK22</f>
        <v>5792</v>
      </c>
      <c r="F4" s="127">
        <f t="shared" si="0"/>
        <v>2773</v>
      </c>
      <c r="G4" s="127">
        <f t="shared" si="1"/>
        <v>2701.2557573592817</v>
      </c>
      <c r="H4" s="127">
        <f t="shared" si="2"/>
        <v>2701.2557573592817</v>
      </c>
      <c r="J4" s="119" t="s">
        <v>3</v>
      </c>
      <c r="K4" s="41">
        <f t="shared" si="3"/>
        <v>0.13962264150943396</v>
      </c>
      <c r="L4" s="41">
        <f t="shared" si="3"/>
        <v>8.5141509433962259E-2</v>
      </c>
      <c r="M4" s="41"/>
      <c r="N4" s="41">
        <f t="shared" si="3"/>
        <v>8.3218232044198898E-2</v>
      </c>
      <c r="O4" s="122">
        <f t="shared" ref="O4:O14" si="5">AVERAGE(K4:N4)</f>
        <v>0.10266079432919838</v>
      </c>
      <c r="P4" s="123">
        <f t="shared" ref="P4:P14" si="6">MAX(K4:N4)</f>
        <v>0.13962264150943396</v>
      </c>
      <c r="Q4" s="123">
        <f t="shared" ref="Q4:Q14" si="7">MIN(K4:N4)</f>
        <v>8.3218232044198898E-2</v>
      </c>
      <c r="S4" s="119" t="s">
        <v>3</v>
      </c>
      <c r="T4" s="41">
        <f>(B75+B59)/(B4+B107)</f>
        <v>0.19389931740614336</v>
      </c>
      <c r="U4" s="41">
        <f t="shared" si="4"/>
        <v>0.26023603082851637</v>
      </c>
      <c r="V4" s="41"/>
      <c r="W4" s="41">
        <f>(E75+E59)/(E4+E107)</f>
        <v>0.26614315740308264</v>
      </c>
      <c r="X4" s="122">
        <f t="shared" ref="X4:X14" si="8">AVERAGE(T4:W4)</f>
        <v>0.24009283521258076</v>
      </c>
      <c r="Y4" s="123">
        <f t="shared" ref="Y4:Y14" si="9">MAX(T4:W4)</f>
        <v>0.26614315740308264</v>
      </c>
      <c r="Z4" s="123">
        <f t="shared" ref="Z4:Z14" si="10">MIN(T4:W4)</f>
        <v>0.19389931740614336</v>
      </c>
      <c r="AB4" s="119" t="s">
        <v>3</v>
      </c>
      <c r="AC4" s="90">
        <f>('ILE ROUSSE 2014'!S5+'ILE ROUSSE 2014'!S22)/2</f>
        <v>0.25</v>
      </c>
      <c r="AD4" s="90">
        <f>('ILE ROUSSE 2015'!S5+'ILE ROUSSE 2015'!S22)/2</f>
        <v>1</v>
      </c>
      <c r="AE4" s="90">
        <f>('ILE ROUSSE 2016'!S5+'ILE ROUSSE 2016'!S22)/2</f>
        <v>0</v>
      </c>
      <c r="AF4" s="90">
        <f>('ILE ROUSSE 2017'!S5+'ILE ROUSSE 2017'!S22)/2</f>
        <v>0.375</v>
      </c>
      <c r="AG4" s="92">
        <f t="shared" ref="AG4:AG14" si="11">AVERAGE(AC4:AF4)</f>
        <v>0.40625</v>
      </c>
      <c r="AH4" s="135">
        <f t="shared" ref="AH4:AH14" si="12">MAX(AC4:AF4)</f>
        <v>1</v>
      </c>
      <c r="AI4" s="135">
        <f t="shared" ref="AI4:AI14" si="13">MIN(AC4:AF4)</f>
        <v>0</v>
      </c>
    </row>
    <row r="5" spans="1:35" x14ac:dyDescent="0.25">
      <c r="A5" s="119" t="s">
        <v>4</v>
      </c>
      <c r="B5" s="132">
        <f>'ILE ROUSSE 2014'!AK6+'ILE ROUSSE 2014'!AK23</f>
        <v>0</v>
      </c>
      <c r="C5" s="132">
        <f>'ILE ROUSSE 2015'!AK6+'ILE ROUSSE 2015'!AK23</f>
        <v>2120</v>
      </c>
      <c r="D5" s="132">
        <f>'ILE ROUSSE 2016'!AK6+'ILE ROUSSE 2016'!AK23</f>
        <v>0</v>
      </c>
      <c r="E5" s="132">
        <f>'ILE ROUSSE 2017'!AK6+'ILE ROUSSE 2017'!AK23</f>
        <v>0</v>
      </c>
      <c r="F5" s="127">
        <f t="shared" si="0"/>
        <v>530</v>
      </c>
      <c r="G5" s="127">
        <f t="shared" si="1"/>
        <v>1060</v>
      </c>
      <c r="H5" s="127">
        <f t="shared" si="2"/>
        <v>1060</v>
      </c>
      <c r="J5" s="119" t="s">
        <v>4</v>
      </c>
      <c r="K5" s="41"/>
      <c r="L5" s="41">
        <f t="shared" si="3"/>
        <v>7.8773584905660374E-2</v>
      </c>
      <c r="M5" s="41"/>
      <c r="N5" s="41"/>
      <c r="O5" s="122">
        <f t="shared" si="5"/>
        <v>7.8773584905660374E-2</v>
      </c>
      <c r="P5" s="123">
        <f t="shared" si="6"/>
        <v>7.8773584905660374E-2</v>
      </c>
      <c r="Q5" s="123">
        <f t="shared" si="7"/>
        <v>7.8773584905660374E-2</v>
      </c>
      <c r="S5" s="119" t="s">
        <v>4</v>
      </c>
      <c r="T5" s="41"/>
      <c r="U5" s="41">
        <f t="shared" si="4"/>
        <v>0.24913344887348354</v>
      </c>
      <c r="V5" s="41"/>
      <c r="W5" s="41"/>
      <c r="X5" s="122">
        <f t="shared" si="8"/>
        <v>0.24913344887348354</v>
      </c>
      <c r="Y5" s="123">
        <f t="shared" si="9"/>
        <v>0.24913344887348354</v>
      </c>
      <c r="Z5" s="123">
        <f t="shared" si="10"/>
        <v>0.24913344887348354</v>
      </c>
      <c r="AB5" s="119" t="s">
        <v>4</v>
      </c>
      <c r="AC5" s="90">
        <f>('ILE ROUSSE 2014'!S6+'ILE ROUSSE 2014'!S23)/2</f>
        <v>0</v>
      </c>
      <c r="AD5" s="90">
        <f>('ILE ROUSSE 2015'!S6+'ILE ROUSSE 2015'!S23)/2</f>
        <v>0.45146726862302489</v>
      </c>
      <c r="AE5" s="90">
        <f>('ILE ROUSSE 2016'!S6+'ILE ROUSSE 2016'!S23)/2</f>
        <v>0</v>
      </c>
      <c r="AF5" s="90">
        <f>('ILE ROUSSE 2017'!S6+'ILE ROUSSE 2017'!S23)/2</f>
        <v>0</v>
      </c>
      <c r="AG5" s="92">
        <f t="shared" si="11"/>
        <v>0.11286681715575622</v>
      </c>
      <c r="AH5" s="135">
        <f t="shared" si="12"/>
        <v>0.45146726862302489</v>
      </c>
      <c r="AI5" s="135">
        <f t="shared" si="13"/>
        <v>0</v>
      </c>
    </row>
    <row r="6" spans="1:35" x14ac:dyDescent="0.25">
      <c r="A6" s="119" t="s">
        <v>5</v>
      </c>
      <c r="B6" s="132">
        <f>'ILE ROUSSE 2014'!AK7+'ILE ROUSSE 2014'!AK24</f>
        <v>15104</v>
      </c>
      <c r="C6" s="132">
        <f>'ILE ROUSSE 2015'!AK7+'ILE ROUSSE 2015'!AK24</f>
        <v>13507</v>
      </c>
      <c r="D6" s="132">
        <f>'ILE ROUSSE 2016'!AK7+'ILE ROUSSE 2016'!AK24</f>
        <v>37280</v>
      </c>
      <c r="E6" s="132">
        <f>'ILE ROUSSE 2017'!AK7+'ILE ROUSSE 2017'!AK24</f>
        <v>30952</v>
      </c>
      <c r="F6" s="127">
        <f t="shared" si="0"/>
        <v>24210.75</v>
      </c>
      <c r="G6" s="127">
        <f t="shared" si="1"/>
        <v>11743.833938852054</v>
      </c>
      <c r="H6" s="127">
        <f t="shared" si="2"/>
        <v>11743.833938852054</v>
      </c>
      <c r="J6" s="119" t="s">
        <v>5</v>
      </c>
      <c r="K6" s="41">
        <f t="shared" si="3"/>
        <v>0.42200741525423729</v>
      </c>
      <c r="L6" s="41">
        <f t="shared" si="3"/>
        <v>0.45820685570444952</v>
      </c>
      <c r="M6" s="41">
        <f t="shared" si="3"/>
        <v>0.31797210300429185</v>
      </c>
      <c r="N6" s="41">
        <f t="shared" si="3"/>
        <v>0.45677177565262339</v>
      </c>
      <c r="O6" s="122">
        <f t="shared" si="5"/>
        <v>0.41373953740390057</v>
      </c>
      <c r="P6" s="123">
        <f t="shared" si="6"/>
        <v>0.45820685570444952</v>
      </c>
      <c r="Q6" s="123">
        <f t="shared" si="7"/>
        <v>0.31797210300429185</v>
      </c>
      <c r="S6" s="119" t="s">
        <v>5</v>
      </c>
      <c r="T6" s="41">
        <f t="shared" ref="T6:T14" si="14">(B77+B61)/(B6+B109)</f>
        <v>0.49846671652954377</v>
      </c>
      <c r="U6" s="41">
        <f t="shared" si="4"/>
        <v>0.68483008810246537</v>
      </c>
      <c r="V6" s="41">
        <f t="shared" ref="V6:W12" si="15">(D77+D61)/(D6+D109)</f>
        <v>0.41362058403103941</v>
      </c>
      <c r="W6" s="41">
        <f t="shared" si="15"/>
        <v>0.50957814791141864</v>
      </c>
      <c r="X6" s="122">
        <f t="shared" si="8"/>
        <v>0.52662388414361683</v>
      </c>
      <c r="Y6" s="123">
        <f t="shared" si="9"/>
        <v>0.68483008810246537</v>
      </c>
      <c r="Z6" s="123">
        <f t="shared" si="10"/>
        <v>0.41362058403103941</v>
      </c>
      <c r="AB6" s="119" t="s">
        <v>5</v>
      </c>
      <c r="AC6" s="90">
        <f>('ILE ROUSSE 2014'!S7+'ILE ROUSSE 2014'!S24)/2</f>
        <v>0.93457943925233644</v>
      </c>
      <c r="AD6" s="90">
        <f>('ILE ROUSSE 2015'!S7+'ILE ROUSSE 2015'!S24)/2</f>
        <v>0.81775700934579443</v>
      </c>
      <c r="AE6" s="90">
        <f>('ILE ROUSSE 2016'!S7+'ILE ROUSSE 2016'!S24)/2</f>
        <v>2.2196261682242993</v>
      </c>
      <c r="AF6" s="90">
        <f>('ILE ROUSSE 2017'!S7+'ILE ROUSSE 2017'!S24)/2</f>
        <v>1.8691588785046729</v>
      </c>
      <c r="AG6" s="92">
        <f t="shared" si="11"/>
        <v>1.4602803738317758</v>
      </c>
      <c r="AH6" s="135">
        <f t="shared" si="12"/>
        <v>2.2196261682242993</v>
      </c>
      <c r="AI6" s="135">
        <f t="shared" si="13"/>
        <v>0.81775700934579443</v>
      </c>
    </row>
    <row r="7" spans="1:35" x14ac:dyDescent="0.25">
      <c r="A7" s="119" t="s">
        <v>6</v>
      </c>
      <c r="B7" s="132">
        <f>'ILE ROUSSE 2014'!AK8+'ILE ROUSSE 2014'!AK25</f>
        <v>37824</v>
      </c>
      <c r="C7" s="132">
        <f>'ILE ROUSSE 2015'!AK8+'ILE ROUSSE 2015'!AK25</f>
        <v>26625</v>
      </c>
      <c r="D7" s="132">
        <f>'ILE ROUSSE 2016'!AK8+'ILE ROUSSE 2016'!AK25</f>
        <v>23400</v>
      </c>
      <c r="E7" s="132">
        <f>'ILE ROUSSE 2017'!AK8+'ILE ROUSSE 2017'!AK25</f>
        <v>39930</v>
      </c>
      <c r="F7" s="127">
        <f t="shared" si="0"/>
        <v>31944.75</v>
      </c>
      <c r="G7" s="127">
        <f t="shared" si="1"/>
        <v>8157.6608320032528</v>
      </c>
      <c r="H7" s="127">
        <f t="shared" si="2"/>
        <v>8157.6608320032528</v>
      </c>
      <c r="J7" s="119" t="s">
        <v>6</v>
      </c>
      <c r="K7" s="41">
        <f t="shared" si="3"/>
        <v>0.40950190355329952</v>
      </c>
      <c r="L7" s="41">
        <f t="shared" si="3"/>
        <v>0.36157746478873237</v>
      </c>
      <c r="M7" s="41">
        <f t="shared" si="3"/>
        <v>0.40978632478632476</v>
      </c>
      <c r="N7" s="41">
        <f t="shared" si="3"/>
        <v>0.39496619083395945</v>
      </c>
      <c r="O7" s="122">
        <f t="shared" si="5"/>
        <v>0.393957970990579</v>
      </c>
      <c r="P7" s="123">
        <f t="shared" si="6"/>
        <v>0.40978632478632476</v>
      </c>
      <c r="Q7" s="123">
        <f t="shared" si="7"/>
        <v>0.36157746478873237</v>
      </c>
      <c r="S7" s="119" t="s">
        <v>6</v>
      </c>
      <c r="T7" s="41">
        <f t="shared" si="14"/>
        <v>0.50530263838592859</v>
      </c>
      <c r="U7" s="41">
        <f t="shared" si="4"/>
        <v>0.49836328824655673</v>
      </c>
      <c r="V7" s="41">
        <f t="shared" si="15"/>
        <v>0.56068376068376069</v>
      </c>
      <c r="W7" s="41">
        <f t="shared" si="15"/>
        <v>0.42142590255698037</v>
      </c>
      <c r="X7" s="122">
        <f t="shared" si="8"/>
        <v>0.49644389746830658</v>
      </c>
      <c r="Y7" s="123">
        <f t="shared" si="9"/>
        <v>0.56068376068376069</v>
      </c>
      <c r="Z7" s="123">
        <f t="shared" si="10"/>
        <v>0.42142590255698037</v>
      </c>
      <c r="AB7" s="119" t="s">
        <v>6</v>
      </c>
      <c r="AC7" s="90">
        <f>('ILE ROUSSE 2014'!S8+'ILE ROUSSE 2014'!S25)/2</f>
        <v>2.2573363431151243</v>
      </c>
      <c r="AD7" s="90">
        <f>('ILE ROUSSE 2015'!S8+'ILE ROUSSE 2015'!S25)/2</f>
        <v>1.5801354401805869</v>
      </c>
      <c r="AE7" s="90">
        <f>('ILE ROUSSE 2016'!S8+'ILE ROUSSE 2016'!S25)/2</f>
        <v>1.3544018058690745</v>
      </c>
      <c r="AF7" s="90">
        <f>('ILE ROUSSE 2017'!S8+'ILE ROUSSE 2017'!S25)/2</f>
        <v>2.3702031602708806</v>
      </c>
      <c r="AG7" s="92">
        <f t="shared" si="11"/>
        <v>1.8905191873589167</v>
      </c>
      <c r="AH7" s="135">
        <f t="shared" si="12"/>
        <v>2.3702031602708806</v>
      </c>
      <c r="AI7" s="135">
        <f t="shared" si="13"/>
        <v>1.3544018058690745</v>
      </c>
    </row>
    <row r="8" spans="1:35" x14ac:dyDescent="0.25">
      <c r="A8" s="119" t="s">
        <v>7</v>
      </c>
      <c r="B8" s="132">
        <f>'ILE ROUSSE 2014'!AK9+'ILE ROUSSE 2014'!AK26</f>
        <v>36281</v>
      </c>
      <c r="C8" s="132">
        <f>'ILE ROUSSE 2015'!AK9+'ILE ROUSSE 2015'!AK26</f>
        <v>47788</v>
      </c>
      <c r="D8" s="132">
        <f>'ILE ROUSSE 2016'!AK9+'ILE ROUSSE 2016'!AK26</f>
        <v>57663</v>
      </c>
      <c r="E8" s="132">
        <f>'ILE ROUSSE 2017'!AK9+'ILE ROUSSE 2017'!AK26</f>
        <v>42057</v>
      </c>
      <c r="F8" s="127">
        <f t="shared" si="0"/>
        <v>45947.25</v>
      </c>
      <c r="G8" s="127">
        <f t="shared" si="1"/>
        <v>9114.4133610818135</v>
      </c>
      <c r="H8" s="127">
        <f t="shared" si="2"/>
        <v>9114.4133610818135</v>
      </c>
      <c r="J8" s="119" t="s">
        <v>7</v>
      </c>
      <c r="K8" s="41">
        <f t="shared" si="3"/>
        <v>0.46412722912819382</v>
      </c>
      <c r="L8" s="41">
        <f t="shared" si="3"/>
        <v>0.33972963923997657</v>
      </c>
      <c r="M8" s="41">
        <f t="shared" si="3"/>
        <v>0.36685569602691498</v>
      </c>
      <c r="N8" s="41">
        <f t="shared" si="3"/>
        <v>0.4538602372970017</v>
      </c>
      <c r="O8" s="122">
        <f t="shared" si="5"/>
        <v>0.40614320042302177</v>
      </c>
      <c r="P8" s="123">
        <f t="shared" si="6"/>
        <v>0.46412722912819382</v>
      </c>
      <c r="Q8" s="123">
        <f t="shared" si="7"/>
        <v>0.33972963923997657</v>
      </c>
      <c r="S8" s="119" t="s">
        <v>7</v>
      </c>
      <c r="T8" s="41">
        <f t="shared" si="14"/>
        <v>0.38095718561867287</v>
      </c>
      <c r="U8" s="41">
        <f t="shared" si="4"/>
        <v>0.35501475893735651</v>
      </c>
      <c r="V8" s="41">
        <f t="shared" si="15"/>
        <v>0.42367434386716657</v>
      </c>
      <c r="W8" s="41">
        <f t="shared" si="15"/>
        <v>0.47053322584360247</v>
      </c>
      <c r="X8" s="122">
        <f t="shared" si="8"/>
        <v>0.40754487856669963</v>
      </c>
      <c r="Y8" s="123">
        <f t="shared" si="9"/>
        <v>0.47053322584360247</v>
      </c>
      <c r="Z8" s="123">
        <f t="shared" si="10"/>
        <v>0.35501475893735651</v>
      </c>
      <c r="AB8" s="119" t="s">
        <v>7</v>
      </c>
      <c r="AC8" s="90">
        <f>('ILE ROUSSE 2014'!S9+'ILE ROUSSE 2014'!S26)/2</f>
        <v>2.2196261682242993</v>
      </c>
      <c r="AD8" s="90">
        <f>('ILE ROUSSE 2015'!S9+'ILE ROUSSE 2015'!S26)/2</f>
        <v>2.9205607476635516</v>
      </c>
      <c r="AE8" s="90">
        <f>('ILE ROUSSE 2016'!S9+'ILE ROUSSE 2016'!S26)/2</f>
        <v>3.5046728971962615</v>
      </c>
      <c r="AF8" s="90">
        <f>('ILE ROUSSE 2017'!S9+'ILE ROUSSE 2017'!S26)/2</f>
        <v>2.570093457943925</v>
      </c>
      <c r="AG8" s="92">
        <f t="shared" si="11"/>
        <v>2.8037383177570092</v>
      </c>
      <c r="AH8" s="135">
        <f t="shared" si="12"/>
        <v>3.5046728971962615</v>
      </c>
      <c r="AI8" s="135">
        <f t="shared" si="13"/>
        <v>2.2196261682242993</v>
      </c>
    </row>
    <row r="9" spans="1:35" x14ac:dyDescent="0.25">
      <c r="A9" s="119" t="s">
        <v>8</v>
      </c>
      <c r="B9" s="132">
        <f>'ILE ROUSSE 2014'!AK10+'ILE ROUSSE 2014'!AK27</f>
        <v>104984</v>
      </c>
      <c r="C9" s="132">
        <f>'ILE ROUSSE 2015'!AK10+'ILE ROUSSE 2015'!AK27</f>
        <v>108457</v>
      </c>
      <c r="D9" s="132">
        <f>'ILE ROUSSE 2016'!AK10+'ILE ROUSSE 2016'!AK27</f>
        <v>102694</v>
      </c>
      <c r="E9" s="132">
        <f>'ILE ROUSSE 2017'!AK10+'ILE ROUSSE 2017'!AK27</f>
        <v>92415</v>
      </c>
      <c r="F9" s="127">
        <f t="shared" si="0"/>
        <v>102137.5</v>
      </c>
      <c r="G9" s="127">
        <f t="shared" si="1"/>
        <v>6901.0951063339699</v>
      </c>
      <c r="H9" s="127">
        <f t="shared" si="2"/>
        <v>6901.0951063339699</v>
      </c>
      <c r="I9" s="45"/>
      <c r="J9" s="119" t="s">
        <v>8</v>
      </c>
      <c r="K9" s="41">
        <f t="shared" si="3"/>
        <v>0.46612817191191036</v>
      </c>
      <c r="L9" s="41">
        <f t="shared" si="3"/>
        <v>0.49298800446259811</v>
      </c>
      <c r="M9" s="41">
        <f t="shared" si="3"/>
        <v>0.51911504080082571</v>
      </c>
      <c r="N9" s="41">
        <f t="shared" si="3"/>
        <v>0.60284585835632742</v>
      </c>
      <c r="O9" s="122">
        <f t="shared" si="5"/>
        <v>0.52026926888291536</v>
      </c>
      <c r="P9" s="123">
        <f t="shared" si="6"/>
        <v>0.60284585835632742</v>
      </c>
      <c r="Q9" s="123">
        <f t="shared" si="7"/>
        <v>0.46612817191191036</v>
      </c>
      <c r="S9" s="119" t="s">
        <v>8</v>
      </c>
      <c r="T9" s="41">
        <f t="shared" si="14"/>
        <v>0.43263697426123643</v>
      </c>
      <c r="U9" s="41">
        <f t="shared" si="4"/>
        <v>0.51003238571794329</v>
      </c>
      <c r="V9" s="41">
        <f t="shared" si="15"/>
        <v>0.58239526773495787</v>
      </c>
      <c r="W9" s="41">
        <f t="shared" si="15"/>
        <v>0.4433745561405657</v>
      </c>
      <c r="X9" s="146">
        <f t="shared" si="8"/>
        <v>0.49210979596367582</v>
      </c>
      <c r="Y9" s="123">
        <f t="shared" si="9"/>
        <v>0.58239526773495787</v>
      </c>
      <c r="Z9" s="123">
        <f t="shared" si="10"/>
        <v>0.43263697426123643</v>
      </c>
      <c r="AB9" s="119" t="s">
        <v>8</v>
      </c>
      <c r="AC9" s="90">
        <f>('ILE ROUSSE 2014'!S10+'ILE ROUSSE 2014'!S27)/2</f>
        <v>6.2076749435665919</v>
      </c>
      <c r="AD9" s="90">
        <f>('ILE ROUSSE 2015'!S10+'ILE ROUSSE 2015'!S27)/2</f>
        <v>6.3205417607223477</v>
      </c>
      <c r="AE9" s="90">
        <f>('ILE ROUSSE 2016'!S10+'ILE ROUSSE 2016'!S27)/2</f>
        <v>5.9819413092550793</v>
      </c>
      <c r="AF9" s="90">
        <f>('ILE ROUSSE 2017'!S10+'ILE ROUSSE 2017'!S27)/2</f>
        <v>5.4176072234762982</v>
      </c>
      <c r="AG9" s="92">
        <f t="shared" si="11"/>
        <v>5.9819413092550802</v>
      </c>
      <c r="AH9" s="135">
        <f t="shared" si="12"/>
        <v>6.3205417607223477</v>
      </c>
      <c r="AI9" s="135">
        <f t="shared" si="13"/>
        <v>5.4176072234762982</v>
      </c>
    </row>
    <row r="10" spans="1:35" x14ac:dyDescent="0.25">
      <c r="A10" s="119" t="s">
        <v>9</v>
      </c>
      <c r="B10" s="132">
        <f>'ILE ROUSSE 2014'!AK11+'ILE ROUSSE 2014'!AK28</f>
        <v>104882</v>
      </c>
      <c r="C10" s="132">
        <f>'ILE ROUSSE 2015'!AK11+'ILE ROUSSE 2015'!AK28</f>
        <v>132432</v>
      </c>
      <c r="D10" s="132">
        <f>'ILE ROUSSE 2016'!AK11+'ILE ROUSSE 2016'!AK28</f>
        <v>103890</v>
      </c>
      <c r="E10" s="132">
        <f>'ILE ROUSSE 2017'!AK11+'ILE ROUSSE 2017'!AK28</f>
        <v>97282</v>
      </c>
      <c r="F10" s="127">
        <f t="shared" si="0"/>
        <v>109621.5</v>
      </c>
      <c r="G10" s="127">
        <f t="shared" si="1"/>
        <v>15576.639806667761</v>
      </c>
      <c r="H10" s="127">
        <f t="shared" si="2"/>
        <v>15576.639806667761</v>
      </c>
      <c r="J10" s="119" t="s">
        <v>9</v>
      </c>
      <c r="K10" s="41">
        <f t="shared" si="3"/>
        <v>0.6436280772677867</v>
      </c>
      <c r="L10" s="41">
        <f t="shared" si="3"/>
        <v>0.63131267367403654</v>
      </c>
      <c r="M10" s="41">
        <f t="shared" si="3"/>
        <v>0.65553951294638557</v>
      </c>
      <c r="N10" s="41">
        <f t="shared" si="3"/>
        <v>0.61844945622006131</v>
      </c>
      <c r="O10" s="122">
        <f t="shared" si="5"/>
        <v>0.63723243002706753</v>
      </c>
      <c r="P10" s="123">
        <f t="shared" si="6"/>
        <v>0.65553951294638557</v>
      </c>
      <c r="Q10" s="123">
        <f t="shared" si="7"/>
        <v>0.61844945622006131</v>
      </c>
      <c r="S10" s="119" t="s">
        <v>9</v>
      </c>
      <c r="T10" s="41">
        <f t="shared" si="14"/>
        <v>0.62673707806451173</v>
      </c>
      <c r="U10" s="41">
        <f t="shared" si="4"/>
        <v>0.61854452413359862</v>
      </c>
      <c r="V10" s="41">
        <f t="shared" si="15"/>
        <v>0.6264355893384671</v>
      </c>
      <c r="W10" s="41">
        <f t="shared" si="15"/>
        <v>0.51499456957541179</v>
      </c>
      <c r="X10" s="146">
        <f t="shared" si="8"/>
        <v>0.59667794027799737</v>
      </c>
      <c r="Y10" s="123">
        <f t="shared" si="9"/>
        <v>0.62673707806451173</v>
      </c>
      <c r="Z10" s="123">
        <f t="shared" si="10"/>
        <v>0.51499456957541179</v>
      </c>
      <c r="AB10" s="119" t="s">
        <v>9</v>
      </c>
      <c r="AC10" s="90">
        <f>('ILE ROUSSE 2014'!S11+'ILE ROUSSE 2014'!S28)/2</f>
        <v>6.2076749435665919</v>
      </c>
      <c r="AD10" s="90">
        <f>('ILE ROUSSE 2015'!S11+'ILE ROUSSE 2015'!S28)/2</f>
        <v>8.0135440180586919</v>
      </c>
      <c r="AE10" s="90">
        <f>('ILE ROUSSE 2016'!S11+'ILE ROUSSE 2016'!S28)/2</f>
        <v>6.094808126410836</v>
      </c>
      <c r="AF10" s="90">
        <f>('ILE ROUSSE 2017'!S11+'ILE ROUSSE 2017'!S28)/2</f>
        <v>5.6433408577878108</v>
      </c>
      <c r="AG10" s="92">
        <f t="shared" si="11"/>
        <v>6.489841986455982</v>
      </c>
      <c r="AH10" s="135">
        <f t="shared" si="12"/>
        <v>8.0135440180586919</v>
      </c>
      <c r="AI10" s="135">
        <f t="shared" si="13"/>
        <v>5.6433408577878108</v>
      </c>
    </row>
    <row r="11" spans="1:35" x14ac:dyDescent="0.25">
      <c r="A11" s="119" t="s">
        <v>10</v>
      </c>
      <c r="B11" s="132">
        <f>'ILE ROUSSE 2014'!AK12+'ILE ROUSSE 2014'!AK29</f>
        <v>30819</v>
      </c>
      <c r="C11" s="132">
        <f>'ILE ROUSSE 2015'!AK12+'ILE ROUSSE 2015'!AK29</f>
        <v>30937</v>
      </c>
      <c r="D11" s="132">
        <f>'ILE ROUSSE 2016'!AK12+'ILE ROUSSE 2016'!AK29</f>
        <v>56352</v>
      </c>
      <c r="E11" s="132">
        <f>'ILE ROUSSE 2017'!AK12+'ILE ROUSSE 2017'!AK29</f>
        <v>48584</v>
      </c>
      <c r="F11" s="127">
        <f t="shared" si="0"/>
        <v>41673</v>
      </c>
      <c r="G11" s="127">
        <f t="shared" si="1"/>
        <v>12862.166406428843</v>
      </c>
      <c r="H11" s="127">
        <f t="shared" si="2"/>
        <v>12862.166406428843</v>
      </c>
      <c r="J11" s="119" t="s">
        <v>10</v>
      </c>
      <c r="K11" s="41">
        <f t="shared" si="3"/>
        <v>0.47490184626366849</v>
      </c>
      <c r="L11" s="41">
        <f t="shared" si="3"/>
        <v>0.49342211591298446</v>
      </c>
      <c r="M11" s="41">
        <f t="shared" si="3"/>
        <v>0.43694988642816579</v>
      </c>
      <c r="N11" s="41">
        <f t="shared" si="3"/>
        <v>0.47182199901202043</v>
      </c>
      <c r="O11" s="122">
        <f t="shared" si="5"/>
        <v>0.46927396190420978</v>
      </c>
      <c r="P11" s="123">
        <f t="shared" si="6"/>
        <v>0.49342211591298446</v>
      </c>
      <c r="Q11" s="123">
        <f t="shared" si="7"/>
        <v>0.43694988642816579</v>
      </c>
      <c r="S11" s="119" t="s">
        <v>10</v>
      </c>
      <c r="T11" s="41">
        <f t="shared" si="14"/>
        <v>0.461454002012952</v>
      </c>
      <c r="U11" s="41">
        <f t="shared" si="4"/>
        <v>0.45892015943954584</v>
      </c>
      <c r="V11" s="41">
        <f t="shared" si="15"/>
        <v>0.44233733871138048</v>
      </c>
      <c r="W11" s="41">
        <f t="shared" si="15"/>
        <v>0.44916524713100042</v>
      </c>
      <c r="X11" s="122">
        <f t="shared" si="8"/>
        <v>0.45296918682371967</v>
      </c>
      <c r="Y11" s="123">
        <f t="shared" si="9"/>
        <v>0.461454002012952</v>
      </c>
      <c r="Z11" s="123">
        <f t="shared" si="10"/>
        <v>0.44233733871138048</v>
      </c>
      <c r="AB11" s="119" t="s">
        <v>10</v>
      </c>
      <c r="AC11" s="90">
        <f>('ILE ROUSSE 2014'!S12+'ILE ROUSSE 2014'!S29)/2</f>
        <v>1.8691588785046727</v>
      </c>
      <c r="AD11" s="90">
        <f>('ILE ROUSSE 2015'!S12+'ILE ROUSSE 2015'!S29)/2</f>
        <v>1.8691588785046729</v>
      </c>
      <c r="AE11" s="90">
        <f>('ILE ROUSSE 2016'!S12+'ILE ROUSSE 2016'!S29)/2</f>
        <v>3.3878504672897196</v>
      </c>
      <c r="AF11" s="90">
        <f>('ILE ROUSSE 2017'!S12+'ILE ROUSSE 2017'!S29)/2</f>
        <v>2.9205607476635516</v>
      </c>
      <c r="AG11" s="92">
        <f t="shared" si="11"/>
        <v>2.5116822429906538</v>
      </c>
      <c r="AH11" s="135">
        <f t="shared" si="12"/>
        <v>3.3878504672897196</v>
      </c>
      <c r="AI11" s="135">
        <f t="shared" si="13"/>
        <v>1.8691588785046727</v>
      </c>
    </row>
    <row r="12" spans="1:35" x14ac:dyDescent="0.25">
      <c r="A12" s="119" t="s">
        <v>11</v>
      </c>
      <c r="B12" s="132">
        <f>'ILE ROUSSE 2014'!AK13+'ILE ROUSSE 2014'!AK30</f>
        <v>5912</v>
      </c>
      <c r="C12" s="132">
        <f>'ILE ROUSSE 2015'!AK13+'ILE ROUSSE 2015'!AK30</f>
        <v>3792</v>
      </c>
      <c r="D12" s="132">
        <f>'ILE ROUSSE 2016'!AK13+'ILE ROUSSE 2016'!AK30</f>
        <v>17640</v>
      </c>
      <c r="E12" s="132">
        <f>'ILE ROUSSE 2017'!AK13+'ILE ROUSSE 2017'!AK30</f>
        <v>15820</v>
      </c>
      <c r="F12" s="127">
        <f t="shared" si="0"/>
        <v>10791</v>
      </c>
      <c r="G12" s="127">
        <f t="shared" si="1"/>
        <v>6951.9849443642115</v>
      </c>
      <c r="H12" s="127">
        <f t="shared" si="2"/>
        <v>6951.9849443642115</v>
      </c>
      <c r="J12" s="119" t="s">
        <v>11</v>
      </c>
      <c r="K12" s="41">
        <f t="shared" si="3"/>
        <v>0.37618403247631937</v>
      </c>
      <c r="L12" s="41">
        <f t="shared" si="3"/>
        <v>0.49472573839662448</v>
      </c>
      <c r="M12" s="41">
        <f t="shared" si="3"/>
        <v>0.3584467120181406</v>
      </c>
      <c r="N12" s="41">
        <f t="shared" si="3"/>
        <v>0.40878634639696587</v>
      </c>
      <c r="O12" s="122">
        <f t="shared" si="5"/>
        <v>0.40953570732201261</v>
      </c>
      <c r="P12" s="123">
        <f t="shared" si="6"/>
        <v>0.49472573839662448</v>
      </c>
      <c r="Q12" s="123">
        <f t="shared" si="7"/>
        <v>0.3584467120181406</v>
      </c>
      <c r="S12" s="119" t="s">
        <v>11</v>
      </c>
      <c r="T12" s="41">
        <f t="shared" si="14"/>
        <v>0.78628708901363276</v>
      </c>
      <c r="U12" s="41">
        <f t="shared" si="4"/>
        <v>1.6263185654008439</v>
      </c>
      <c r="V12" s="41">
        <f t="shared" si="15"/>
        <v>0.73526077097505671</v>
      </c>
      <c r="W12" s="41">
        <f t="shared" si="15"/>
        <v>0.71733561058923989</v>
      </c>
      <c r="X12" s="122">
        <f t="shared" si="8"/>
        <v>0.96630050899469322</v>
      </c>
      <c r="Y12" s="123">
        <f t="shared" si="9"/>
        <v>1.6263185654008439</v>
      </c>
      <c r="Z12" s="123">
        <f t="shared" si="10"/>
        <v>0.71733561058923989</v>
      </c>
      <c r="AB12" s="119" t="s">
        <v>11</v>
      </c>
      <c r="AC12" s="90">
        <f>('ILE ROUSSE 2014'!S13+'ILE ROUSSE 2014'!S30)/2</f>
        <v>0.67720090293453727</v>
      </c>
      <c r="AD12" s="90">
        <f>('ILE ROUSSE 2015'!S13+'ILE ROUSSE 2015'!S30)/2</f>
        <v>0.22573363431151244</v>
      </c>
      <c r="AE12" s="90">
        <f>('ILE ROUSSE 2016'!S13+'ILE ROUSSE 2016'!S30)/2</f>
        <v>1.0158013544018059</v>
      </c>
      <c r="AF12" s="90">
        <f>('ILE ROUSSE 2017'!S13+'ILE ROUSSE 2017'!S30)/2</f>
        <v>0.90293453724604977</v>
      </c>
      <c r="AG12" s="92">
        <f t="shared" si="11"/>
        <v>0.70541760722347635</v>
      </c>
      <c r="AH12" s="135">
        <f t="shared" si="12"/>
        <v>1.0158013544018059</v>
      </c>
      <c r="AI12" s="135">
        <f t="shared" si="13"/>
        <v>0.22573363431151244</v>
      </c>
    </row>
    <row r="13" spans="1:35" x14ac:dyDescent="0.25">
      <c r="A13" s="119" t="s">
        <v>12</v>
      </c>
      <c r="B13" s="132">
        <f>'ILE ROUSSE 2014'!AK14+'ILE ROUSSE 2014'!AK31</f>
        <v>8032</v>
      </c>
      <c r="C13" s="132">
        <f>'ILE ROUSSE 2015'!AK14+'ILE ROUSSE 2015'!AK31</f>
        <v>0</v>
      </c>
      <c r="D13" s="132">
        <f>'ILE ROUSSE 2016'!AK14+'ILE ROUSSE 2016'!AK31</f>
        <v>0</v>
      </c>
      <c r="E13" s="132"/>
      <c r="F13" s="127">
        <f t="shared" si="0"/>
        <v>2677.3333333333335</v>
      </c>
      <c r="G13" s="127">
        <f t="shared" si="1"/>
        <v>4637.2773621310744</v>
      </c>
      <c r="H13" s="127">
        <f t="shared" si="2"/>
        <v>4637.2773621310744</v>
      </c>
      <c r="J13" s="119" t="s">
        <v>12</v>
      </c>
      <c r="K13" s="41">
        <f t="shared" si="3"/>
        <v>0.13421314741035856</v>
      </c>
      <c r="L13" s="41"/>
      <c r="M13" s="41"/>
      <c r="N13" s="41"/>
      <c r="O13" s="122">
        <f t="shared" si="5"/>
        <v>0.13421314741035856</v>
      </c>
      <c r="P13" s="123">
        <f t="shared" si="6"/>
        <v>0.13421314741035856</v>
      </c>
      <c r="Q13" s="123">
        <f t="shared" si="7"/>
        <v>0.13421314741035856</v>
      </c>
      <c r="S13" s="119" t="s">
        <v>12</v>
      </c>
      <c r="T13" s="41">
        <f t="shared" si="14"/>
        <v>0.26630963972736127</v>
      </c>
      <c r="U13" s="41"/>
      <c r="V13" s="41"/>
      <c r="W13" s="41"/>
      <c r="X13" s="122">
        <f t="shared" si="8"/>
        <v>0.26630963972736127</v>
      </c>
      <c r="Y13" s="123">
        <f t="shared" si="9"/>
        <v>0.26630963972736127</v>
      </c>
      <c r="Z13" s="123">
        <f t="shared" si="10"/>
        <v>0.26630963972736127</v>
      </c>
      <c r="AB13" s="119" t="s">
        <v>12</v>
      </c>
      <c r="AC13" s="90">
        <f>('ILE ROUSSE 2014'!S14+'ILE ROUSSE 2014'!S31)/2</f>
        <v>1.1682242990654206</v>
      </c>
      <c r="AD13" s="90">
        <f>('ILE ROUSSE 2015'!S14+'ILE ROUSSE 2015'!S31)/2</f>
        <v>0</v>
      </c>
      <c r="AE13" s="90">
        <f>('ILE ROUSSE 2016'!S14+'ILE ROUSSE 2016'!S31)/2</f>
        <v>0</v>
      </c>
      <c r="AF13" s="90"/>
      <c r="AG13" s="92">
        <f t="shared" si="11"/>
        <v>0.38940809968847351</v>
      </c>
      <c r="AH13" s="135">
        <f t="shared" si="12"/>
        <v>1.1682242990654206</v>
      </c>
      <c r="AI13" s="135">
        <f t="shared" si="13"/>
        <v>0</v>
      </c>
    </row>
    <row r="14" spans="1:35" ht="15.75" thickBot="1" x14ac:dyDescent="0.3">
      <c r="A14" s="119" t="s">
        <v>13</v>
      </c>
      <c r="B14" s="132">
        <f>'ILE ROUSSE 2014'!AK15+'ILE ROUSSE 2014'!AK32</f>
        <v>4240</v>
      </c>
      <c r="C14" s="132">
        <f>'ILE ROUSSE 2015'!AK15+'ILE ROUSSE 2015'!AK32</f>
        <v>0</v>
      </c>
      <c r="D14" s="132">
        <f>'ILE ROUSSE 2016'!AK15+'ILE ROUSSE 2016'!AK32</f>
        <v>7820</v>
      </c>
      <c r="E14" s="132"/>
      <c r="F14" s="127">
        <f t="shared" si="0"/>
        <v>4020</v>
      </c>
      <c r="G14" s="127">
        <f t="shared" si="1"/>
        <v>3914.6391915475429</v>
      </c>
      <c r="H14" s="127">
        <f t="shared" si="2"/>
        <v>3914.6391915475429</v>
      </c>
      <c r="J14" s="139" t="s">
        <v>13</v>
      </c>
      <c r="K14" s="66">
        <f t="shared" si="3"/>
        <v>0.10353773584905661</v>
      </c>
      <c r="L14" s="66"/>
      <c r="M14" s="66">
        <f t="shared" si="3"/>
        <v>0.13350383631713555</v>
      </c>
      <c r="N14" s="66"/>
      <c r="O14" s="122">
        <f t="shared" si="5"/>
        <v>0.11852078608309607</v>
      </c>
      <c r="P14" s="123">
        <f t="shared" si="6"/>
        <v>0.13350383631713555</v>
      </c>
      <c r="Q14" s="123">
        <f t="shared" si="7"/>
        <v>0.10353773584905661</v>
      </c>
      <c r="S14" s="139" t="s">
        <v>13</v>
      </c>
      <c r="T14" s="66">
        <f t="shared" si="14"/>
        <v>0.62786989795918369</v>
      </c>
      <c r="U14" s="66"/>
      <c r="V14" s="66">
        <f>(D85+D69)/(D14+D117)</f>
        <v>0.25067649260176178</v>
      </c>
      <c r="W14" s="66"/>
      <c r="X14" s="122">
        <f t="shared" si="8"/>
        <v>0.43927319528047271</v>
      </c>
      <c r="Y14" s="123">
        <f t="shared" si="9"/>
        <v>0.62786989795918369</v>
      </c>
      <c r="Z14" s="123">
        <f t="shared" si="10"/>
        <v>0.25067649260176178</v>
      </c>
      <c r="AB14" s="139" t="s">
        <v>13</v>
      </c>
      <c r="AC14" s="93">
        <f>('ILE ROUSSE 2014'!S15+'ILE ROUSSE 2014'!S32)/2</f>
        <v>0.90293453724604977</v>
      </c>
      <c r="AD14" s="93">
        <f>('ILE ROUSSE 2015'!S15+'ILE ROUSSE 2015'!S32)/2</f>
        <v>0</v>
      </c>
      <c r="AE14" s="93">
        <f>('ILE ROUSSE 2016'!S15+'ILE ROUSSE 2016'!S32)/2</f>
        <v>0.45146726862302489</v>
      </c>
      <c r="AF14" s="93"/>
      <c r="AG14" s="92">
        <f t="shared" si="11"/>
        <v>0.45146726862302494</v>
      </c>
      <c r="AH14" s="135">
        <f t="shared" si="12"/>
        <v>0.90293453724604977</v>
      </c>
      <c r="AI14" s="135">
        <f t="shared" si="13"/>
        <v>0</v>
      </c>
    </row>
    <row r="15" spans="1:35" ht="16.5" thickTop="1" thickBot="1" x14ac:dyDescent="0.3">
      <c r="A15" s="128" t="s">
        <v>0</v>
      </c>
      <c r="B15" s="129">
        <f t="shared" ref="B15:D15" si="16">SUM(B3:B14)</f>
        <v>349138</v>
      </c>
      <c r="C15" s="129">
        <f t="shared" si="16"/>
        <v>370958</v>
      </c>
      <c r="D15" s="129">
        <f t="shared" si="16"/>
        <v>406739</v>
      </c>
      <c r="E15" s="129">
        <f>SUM(E3:E14)</f>
        <v>374728</v>
      </c>
      <c r="J15" s="138" t="s">
        <v>1</v>
      </c>
      <c r="K15" s="61">
        <f>AVERAGE(K3:K14)</f>
        <v>0.36338522006242646</v>
      </c>
      <c r="L15" s="61">
        <f t="shared" ref="L15:M15" si="17">AVERAGE(L3:L14)</f>
        <v>0.35255002280284586</v>
      </c>
      <c r="M15" s="61">
        <f t="shared" si="17"/>
        <v>0.39977113904102313</v>
      </c>
      <c r="N15" s="61">
        <f>AVERAGE(N3:N14)</f>
        <v>0.41868291735007906</v>
      </c>
      <c r="S15" s="138" t="s">
        <v>1</v>
      </c>
      <c r="T15" s="61">
        <f>AVERAGE(T3:T14)</f>
        <v>0.47799205389791666</v>
      </c>
      <c r="U15" s="61">
        <f t="shared" ref="U15:W15" si="18">AVERAGE(U3:U14)</f>
        <v>0.56005423892596595</v>
      </c>
      <c r="V15" s="61">
        <f t="shared" si="18"/>
        <v>0.50438551849294877</v>
      </c>
      <c r="W15" s="61">
        <f t="shared" si="18"/>
        <v>0.45259209994977528</v>
      </c>
      <c r="AB15" s="138" t="s">
        <v>1</v>
      </c>
      <c r="AC15" s="91">
        <f>AVERAGE(AC3:AC14)</f>
        <v>1.8912008712896355</v>
      </c>
      <c r="AD15" s="91">
        <f t="shared" ref="AD15:AF15" si="19">AVERAGE(AD3:AD14)</f>
        <v>1.9520526993101415</v>
      </c>
      <c r="AE15" s="91">
        <f t="shared" si="19"/>
        <v>2.0008807831058415</v>
      </c>
      <c r="AF15" s="91">
        <f t="shared" si="19"/>
        <v>2.2181765680048944</v>
      </c>
      <c r="AG15" s="135"/>
      <c r="AH15" s="135"/>
      <c r="AI15" s="135"/>
    </row>
    <row r="16" spans="1:35" ht="15.75" thickTop="1" x14ac:dyDescent="0.25">
      <c r="A16" s="1" t="s">
        <v>72</v>
      </c>
      <c r="B16" s="1"/>
      <c r="F16" s="127"/>
    </row>
    <row r="17" spans="1:17" x14ac:dyDescent="0.25">
      <c r="A17" s="130" t="s">
        <v>15</v>
      </c>
      <c r="B17" s="127">
        <f t="shared" ref="B17:G17" si="20">AVERAGE(B3:B5,B12:B14)</f>
        <v>3207.3333333333335</v>
      </c>
      <c r="C17" s="127">
        <f t="shared" si="20"/>
        <v>1868.6666666666667</v>
      </c>
      <c r="D17" s="127">
        <f t="shared" si="20"/>
        <v>4243.333333333333</v>
      </c>
      <c r="E17" s="127">
        <f t="shared" si="20"/>
        <v>5877</v>
      </c>
      <c r="F17" s="127">
        <f t="shared" si="20"/>
        <v>3588.3888888888887</v>
      </c>
      <c r="G17" s="127">
        <f t="shared" si="20"/>
        <v>3364.0337353454797</v>
      </c>
      <c r="H17" s="131"/>
    </row>
    <row r="18" spans="1:17" x14ac:dyDescent="0.25">
      <c r="A18" s="130" t="s">
        <v>16</v>
      </c>
      <c r="B18" s="127">
        <f t="shared" ref="B18:G18" si="21">AVERAGE(B6:B11)</f>
        <v>54982.333333333336</v>
      </c>
      <c r="C18" s="127">
        <f t="shared" si="21"/>
        <v>59957.666666666664</v>
      </c>
      <c r="D18" s="127">
        <f t="shared" si="21"/>
        <v>63546.5</v>
      </c>
      <c r="E18" s="127">
        <f t="shared" si="21"/>
        <v>58536.666666666664</v>
      </c>
      <c r="F18" s="127">
        <f t="shared" si="21"/>
        <v>59255.791666666664</v>
      </c>
      <c r="G18" s="127">
        <f t="shared" si="21"/>
        <v>10725.968241894616</v>
      </c>
    </row>
    <row r="19" spans="1:17" ht="15.75" thickBot="1" x14ac:dyDescent="0.3"/>
    <row r="20" spans="1:17" ht="17.25" thickTop="1" thickBot="1" x14ac:dyDescent="0.3">
      <c r="A20" s="140" t="s">
        <v>90</v>
      </c>
      <c r="B20" s="141"/>
      <c r="C20" s="141"/>
      <c r="D20" s="141"/>
      <c r="E20" s="141"/>
      <c r="F20" s="142"/>
      <c r="J20" s="140" t="s">
        <v>126</v>
      </c>
      <c r="K20" s="141"/>
      <c r="L20" s="141"/>
      <c r="M20" s="141"/>
      <c r="N20" s="141"/>
      <c r="O20" s="142"/>
    </row>
    <row r="21" spans="1:17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86" t="s">
        <v>18</v>
      </c>
      <c r="Q21" s="86" t="s">
        <v>17</v>
      </c>
    </row>
    <row r="22" spans="1:17" x14ac:dyDescent="0.25">
      <c r="A22" s="119" t="s">
        <v>2</v>
      </c>
      <c r="B22" s="84">
        <v>0</v>
      </c>
      <c r="C22" s="84">
        <v>95</v>
      </c>
      <c r="D22" s="84">
        <v>0</v>
      </c>
      <c r="E22" s="118">
        <v>526</v>
      </c>
      <c r="F22" s="127">
        <f t="shared" ref="F22:F33" si="22">AVERAGE(B22:E22)</f>
        <v>155.25</v>
      </c>
      <c r="G22" s="127">
        <f t="shared" ref="G22:G33" si="23">STDEVA(B22:E22)</f>
        <v>251.19099638853831</v>
      </c>
      <c r="H22" s="127">
        <f t="shared" ref="H22:H33" si="24">STDEVA(B22:E22)</f>
        <v>251.19099638853831</v>
      </c>
      <c r="J22" s="119" t="s">
        <v>2</v>
      </c>
      <c r="K22" s="77">
        <f>(B3+B106)-(B90)</f>
        <v>2187</v>
      </c>
      <c r="L22" s="77">
        <f t="shared" ref="L22:N22" si="25">(C3+C106)-(C90)</f>
        <v>2765</v>
      </c>
      <c r="M22" s="77">
        <f t="shared" si="25"/>
        <v>13005</v>
      </c>
      <c r="N22" s="77">
        <f t="shared" si="25"/>
        <v>6578</v>
      </c>
      <c r="O22" s="92">
        <f>AVERAGE(K22:N22)</f>
        <v>6133.75</v>
      </c>
      <c r="P22" s="135">
        <f>MAX(K22:N22)</f>
        <v>13005</v>
      </c>
      <c r="Q22" s="135">
        <f>MIN(K22:N22)</f>
        <v>2187</v>
      </c>
    </row>
    <row r="23" spans="1:17" x14ac:dyDescent="0.25">
      <c r="A23" s="119" t="s">
        <v>3</v>
      </c>
      <c r="B23" s="84">
        <v>148</v>
      </c>
      <c r="C23" s="84">
        <v>361</v>
      </c>
      <c r="D23" s="83">
        <v>0</v>
      </c>
      <c r="E23" s="118">
        <v>482</v>
      </c>
      <c r="F23" s="127">
        <f t="shared" si="22"/>
        <v>247.75</v>
      </c>
      <c r="G23" s="127">
        <f t="shared" si="23"/>
        <v>215.27405014693866</v>
      </c>
      <c r="H23" s="127">
        <f t="shared" si="24"/>
        <v>215.27405014693866</v>
      </c>
      <c r="J23" s="119" t="s">
        <v>3</v>
      </c>
      <c r="K23" s="77">
        <f t="shared" ref="K23:K33" si="26">(B4+B107)-(B91)</f>
        <v>7558</v>
      </c>
      <c r="L23" s="77">
        <f t="shared" ref="L23:L33" si="27">(C4+C107)-(C91)</f>
        <v>6143</v>
      </c>
      <c r="M23" s="77">
        <f t="shared" ref="M23:M33" si="28">(D4+D107)-(D91)</f>
        <v>2706</v>
      </c>
      <c r="N23" s="77">
        <f t="shared" ref="N23:N31" si="29">(E4+E107)-(E91)</f>
        <v>8379.6666666666679</v>
      </c>
      <c r="O23" s="92">
        <f t="shared" ref="O23:O33" si="30">AVERAGE(K23:N23)</f>
        <v>6196.666666666667</v>
      </c>
      <c r="P23" s="135">
        <f t="shared" ref="P23:P33" si="31">MAX(K23:N23)</f>
        <v>8379.6666666666679</v>
      </c>
      <c r="Q23" s="135">
        <f t="shared" ref="Q23:Q33" si="32">MIN(K23:N23)</f>
        <v>2706</v>
      </c>
    </row>
    <row r="24" spans="1:17" x14ac:dyDescent="0.25">
      <c r="A24" s="119" t="s">
        <v>4</v>
      </c>
      <c r="B24" s="84">
        <v>0</v>
      </c>
      <c r="C24" s="84">
        <v>167</v>
      </c>
      <c r="D24" s="83">
        <v>0</v>
      </c>
      <c r="E24" s="83">
        <v>0</v>
      </c>
      <c r="F24" s="127">
        <f t="shared" si="22"/>
        <v>41.75</v>
      </c>
      <c r="G24" s="127">
        <f t="shared" si="23"/>
        <v>83.5</v>
      </c>
      <c r="H24" s="127">
        <f t="shared" si="24"/>
        <v>83.5</v>
      </c>
      <c r="J24" s="119" t="s">
        <v>4</v>
      </c>
      <c r="K24" s="77">
        <f t="shared" si="26"/>
        <v>528</v>
      </c>
      <c r="L24" s="77">
        <f t="shared" si="27"/>
        <v>6932</v>
      </c>
      <c r="M24" s="77">
        <f t="shared" si="28"/>
        <v>4091</v>
      </c>
      <c r="N24" s="77">
        <f t="shared" si="29"/>
        <v>2966</v>
      </c>
      <c r="O24" s="92">
        <f t="shared" si="30"/>
        <v>3629.25</v>
      </c>
      <c r="P24" s="135">
        <f t="shared" si="31"/>
        <v>6932</v>
      </c>
      <c r="Q24" s="135">
        <f t="shared" si="32"/>
        <v>528</v>
      </c>
    </row>
    <row r="25" spans="1:17" x14ac:dyDescent="0.25">
      <c r="A25" s="119" t="s">
        <v>5</v>
      </c>
      <c r="B25" s="84">
        <v>6374</v>
      </c>
      <c r="C25" s="84">
        <v>6189</v>
      </c>
      <c r="D25" s="84">
        <v>11854</v>
      </c>
      <c r="E25" s="84">
        <v>14138</v>
      </c>
      <c r="F25" s="127">
        <f t="shared" si="22"/>
        <v>9638.75</v>
      </c>
      <c r="G25" s="127">
        <f t="shared" si="23"/>
        <v>3987.8963021456143</v>
      </c>
      <c r="H25" s="127">
        <f t="shared" si="24"/>
        <v>3987.8963021456143</v>
      </c>
      <c r="J25" s="119" t="s">
        <v>5</v>
      </c>
      <c r="K25" s="77">
        <f t="shared" si="26"/>
        <v>13411</v>
      </c>
      <c r="L25" s="77">
        <f t="shared" si="27"/>
        <v>4257</v>
      </c>
      <c r="M25" s="77">
        <f t="shared" si="28"/>
        <v>22972</v>
      </c>
      <c r="N25" s="77">
        <f t="shared" si="29"/>
        <v>17391.666666666664</v>
      </c>
      <c r="O25" s="92">
        <f t="shared" si="30"/>
        <v>14507.916666666666</v>
      </c>
      <c r="P25" s="135">
        <f t="shared" si="31"/>
        <v>22972</v>
      </c>
      <c r="Q25" s="135">
        <f t="shared" si="32"/>
        <v>4257</v>
      </c>
    </row>
    <row r="26" spans="1:17" x14ac:dyDescent="0.25">
      <c r="A26" s="119" t="s">
        <v>6</v>
      </c>
      <c r="B26" s="84">
        <v>15489</v>
      </c>
      <c r="C26" s="84">
        <v>9627</v>
      </c>
      <c r="D26" s="84">
        <v>9589</v>
      </c>
      <c r="E26" s="84">
        <v>15771</v>
      </c>
      <c r="F26" s="127">
        <f t="shared" si="22"/>
        <v>12619</v>
      </c>
      <c r="G26" s="127">
        <f t="shared" si="23"/>
        <v>3478.7434513053704</v>
      </c>
      <c r="H26" s="127">
        <f t="shared" si="24"/>
        <v>3478.7434513053704</v>
      </c>
      <c r="J26" s="119" t="s">
        <v>6</v>
      </c>
      <c r="K26" s="77">
        <f t="shared" si="26"/>
        <v>26775</v>
      </c>
      <c r="L26" s="77">
        <f t="shared" si="27"/>
        <v>16244</v>
      </c>
      <c r="M26" s="77">
        <f t="shared" si="28"/>
        <v>10280</v>
      </c>
      <c r="N26" s="77">
        <f t="shared" si="29"/>
        <v>27356.333333333336</v>
      </c>
      <c r="O26" s="92">
        <f t="shared" si="30"/>
        <v>20163.833333333336</v>
      </c>
      <c r="P26" s="135">
        <f t="shared" si="31"/>
        <v>27356.333333333336</v>
      </c>
      <c r="Q26" s="135">
        <f t="shared" si="32"/>
        <v>10280</v>
      </c>
    </row>
    <row r="27" spans="1:17" x14ac:dyDescent="0.25">
      <c r="A27" s="119" t="s">
        <v>7</v>
      </c>
      <c r="B27" s="84">
        <v>16839</v>
      </c>
      <c r="C27" s="84">
        <v>16235</v>
      </c>
      <c r="D27" s="84">
        <v>21154</v>
      </c>
      <c r="E27" s="84">
        <v>19088</v>
      </c>
      <c r="F27" s="127">
        <f t="shared" si="22"/>
        <v>18329</v>
      </c>
      <c r="G27" s="127">
        <f t="shared" si="23"/>
        <v>2248.0837766121322</v>
      </c>
      <c r="H27" s="127">
        <f t="shared" si="24"/>
        <v>2248.0837766121322</v>
      </c>
      <c r="J27" s="119" t="s">
        <v>7</v>
      </c>
      <c r="K27" s="77">
        <f t="shared" si="26"/>
        <v>55218</v>
      </c>
      <c r="L27" s="77">
        <f t="shared" si="27"/>
        <v>49164</v>
      </c>
      <c r="M27" s="77">
        <f t="shared" si="28"/>
        <v>38736</v>
      </c>
      <c r="N27" s="77">
        <f t="shared" si="29"/>
        <v>38311.333333333328</v>
      </c>
      <c r="O27" s="92">
        <f t="shared" si="30"/>
        <v>45357.333333333328</v>
      </c>
      <c r="P27" s="135">
        <f t="shared" si="31"/>
        <v>55218</v>
      </c>
      <c r="Q27" s="135">
        <f t="shared" si="32"/>
        <v>38311.333333333328</v>
      </c>
    </row>
    <row r="28" spans="1:17" x14ac:dyDescent="0.25">
      <c r="A28" s="119" t="s">
        <v>8</v>
      </c>
      <c r="B28" s="84">
        <v>48936</v>
      </c>
      <c r="C28" s="84">
        <v>53468</v>
      </c>
      <c r="D28" s="84">
        <v>53310</v>
      </c>
      <c r="E28" s="84">
        <v>55712</v>
      </c>
      <c r="F28" s="127">
        <f t="shared" si="22"/>
        <v>52856.5</v>
      </c>
      <c r="G28" s="127">
        <f t="shared" si="23"/>
        <v>2834.53670523656</v>
      </c>
      <c r="H28" s="127">
        <f t="shared" si="24"/>
        <v>2834.53670523656</v>
      </c>
      <c r="J28" s="119" t="s">
        <v>8</v>
      </c>
      <c r="K28" s="77">
        <f t="shared" si="26"/>
        <v>153310</v>
      </c>
      <c r="L28" s="77">
        <f t="shared" si="27"/>
        <v>109081</v>
      </c>
      <c r="M28" s="77">
        <f t="shared" si="28"/>
        <v>66220</v>
      </c>
      <c r="N28" s="77">
        <f t="shared" si="29"/>
        <v>113649</v>
      </c>
      <c r="O28" s="92">
        <f t="shared" si="30"/>
        <v>110565</v>
      </c>
      <c r="P28" s="135">
        <f t="shared" si="31"/>
        <v>153310</v>
      </c>
      <c r="Q28" s="135">
        <f t="shared" si="32"/>
        <v>66220</v>
      </c>
    </row>
    <row r="29" spans="1:17" x14ac:dyDescent="0.25">
      <c r="A29" s="119" t="s">
        <v>9</v>
      </c>
      <c r="B29" s="84">
        <v>67505</v>
      </c>
      <c r="C29" s="84">
        <v>83606</v>
      </c>
      <c r="D29" s="84">
        <v>68104</v>
      </c>
      <c r="E29" s="84">
        <v>60164</v>
      </c>
      <c r="F29" s="127">
        <f t="shared" si="22"/>
        <v>69844.75</v>
      </c>
      <c r="G29" s="127">
        <f t="shared" si="23"/>
        <v>9858.8972126703902</v>
      </c>
      <c r="H29" s="127">
        <f t="shared" si="24"/>
        <v>9858.8972126703902</v>
      </c>
      <c r="J29" s="119" t="s">
        <v>9</v>
      </c>
      <c r="K29" s="77">
        <f t="shared" si="26"/>
        <v>108568</v>
      </c>
      <c r="L29" s="77">
        <f t="shared" si="27"/>
        <v>116585</v>
      </c>
      <c r="M29" s="77">
        <f t="shared" si="28"/>
        <v>90035</v>
      </c>
      <c r="N29" s="77">
        <f t="shared" si="29"/>
        <v>127419.33333333337</v>
      </c>
      <c r="O29" s="92">
        <f t="shared" si="30"/>
        <v>110651.83333333334</v>
      </c>
      <c r="P29" s="135">
        <f t="shared" si="31"/>
        <v>127419.33333333337</v>
      </c>
      <c r="Q29" s="135">
        <f t="shared" si="32"/>
        <v>90035</v>
      </c>
    </row>
    <row r="30" spans="1:17" x14ac:dyDescent="0.25">
      <c r="A30" s="119" t="s">
        <v>10</v>
      </c>
      <c r="B30" s="84">
        <v>14636</v>
      </c>
      <c r="C30" s="84">
        <v>15265</v>
      </c>
      <c r="D30" s="84">
        <v>24623</v>
      </c>
      <c r="E30" s="84">
        <v>22923</v>
      </c>
      <c r="F30" s="127">
        <f t="shared" si="22"/>
        <v>19361.75</v>
      </c>
      <c r="G30" s="127">
        <f t="shared" si="23"/>
        <v>5147.1457057933249</v>
      </c>
      <c r="H30" s="127">
        <f t="shared" si="24"/>
        <v>5147.1457057933249</v>
      </c>
      <c r="J30" s="119" t="s">
        <v>10</v>
      </c>
      <c r="K30" s="77">
        <f t="shared" si="26"/>
        <v>52973</v>
      </c>
      <c r="L30" s="77">
        <f t="shared" si="27"/>
        <v>44796</v>
      </c>
      <c r="M30" s="77">
        <f t="shared" si="28"/>
        <v>52814</v>
      </c>
      <c r="N30" s="77">
        <f t="shared" si="29"/>
        <v>55726.666666666657</v>
      </c>
      <c r="O30" s="92">
        <f t="shared" si="30"/>
        <v>51577.416666666664</v>
      </c>
      <c r="P30" s="135">
        <f t="shared" si="31"/>
        <v>55726.666666666657</v>
      </c>
      <c r="Q30" s="135">
        <f t="shared" si="32"/>
        <v>44796</v>
      </c>
    </row>
    <row r="31" spans="1:17" x14ac:dyDescent="0.25">
      <c r="A31" s="119" t="s">
        <v>11</v>
      </c>
      <c r="B31" s="84">
        <v>2224</v>
      </c>
      <c r="C31" s="84">
        <v>1876</v>
      </c>
      <c r="D31" s="84">
        <v>6323</v>
      </c>
      <c r="E31" s="84">
        <v>6467</v>
      </c>
      <c r="F31" s="127">
        <f t="shared" si="22"/>
        <v>4222.5</v>
      </c>
      <c r="G31" s="127">
        <f t="shared" si="23"/>
        <v>2513.2943188837498</v>
      </c>
      <c r="H31" s="127">
        <f t="shared" si="24"/>
        <v>2513.2943188837498</v>
      </c>
      <c r="J31" s="119" t="s">
        <v>11</v>
      </c>
      <c r="K31" s="77">
        <f t="shared" si="26"/>
        <v>2132</v>
      </c>
      <c r="L31" s="77">
        <f t="shared" si="27"/>
        <v>-2375</v>
      </c>
      <c r="M31" s="77">
        <f t="shared" si="28"/>
        <v>4670</v>
      </c>
      <c r="N31" s="77">
        <f t="shared" si="29"/>
        <v>4854.6666666666679</v>
      </c>
      <c r="O31" s="92">
        <f t="shared" si="30"/>
        <v>2320.416666666667</v>
      </c>
      <c r="P31" s="135">
        <f t="shared" si="31"/>
        <v>4854.6666666666679</v>
      </c>
      <c r="Q31" s="135">
        <f t="shared" si="32"/>
        <v>-2375</v>
      </c>
    </row>
    <row r="32" spans="1:17" x14ac:dyDescent="0.25">
      <c r="A32" s="119" t="s">
        <v>12</v>
      </c>
      <c r="B32" s="84">
        <v>1078</v>
      </c>
      <c r="C32" s="84">
        <v>0</v>
      </c>
      <c r="D32" s="84">
        <v>0</v>
      </c>
      <c r="E32" s="84"/>
      <c r="F32" s="127">
        <f t="shared" si="22"/>
        <v>359.33333333333331</v>
      </c>
      <c r="G32" s="127">
        <f t="shared" si="23"/>
        <v>622.38359018641665</v>
      </c>
      <c r="H32" s="127">
        <f t="shared" si="24"/>
        <v>622.38359018641665</v>
      </c>
      <c r="J32" s="119" t="s">
        <v>12</v>
      </c>
      <c r="K32" s="77">
        <f t="shared" si="26"/>
        <v>9042</v>
      </c>
      <c r="L32" s="77">
        <f t="shared" si="27"/>
        <v>6903</v>
      </c>
      <c r="M32" s="77">
        <f t="shared" si="28"/>
        <v>16907</v>
      </c>
      <c r="N32" s="77"/>
      <c r="O32" s="92">
        <f t="shared" si="30"/>
        <v>10950.666666666666</v>
      </c>
      <c r="P32" s="135">
        <f t="shared" si="31"/>
        <v>16907</v>
      </c>
      <c r="Q32" s="135">
        <f t="shared" si="32"/>
        <v>6903</v>
      </c>
    </row>
    <row r="33" spans="1:17" ht="15.75" thickBot="1" x14ac:dyDescent="0.3">
      <c r="A33" s="119" t="s">
        <v>13</v>
      </c>
      <c r="B33" s="84">
        <v>439</v>
      </c>
      <c r="C33" s="84">
        <v>0</v>
      </c>
      <c r="D33" s="67">
        <v>1044</v>
      </c>
      <c r="E33" s="67"/>
      <c r="F33" s="127">
        <f t="shared" si="22"/>
        <v>494.33333333333331</v>
      </c>
      <c r="G33" s="127">
        <f t="shared" si="23"/>
        <v>524.19493829426983</v>
      </c>
      <c r="H33" s="127">
        <f t="shared" si="24"/>
        <v>524.19493829426983</v>
      </c>
      <c r="J33" s="139" t="s">
        <v>13</v>
      </c>
      <c r="K33" s="77">
        <f t="shared" si="26"/>
        <v>2334</v>
      </c>
      <c r="L33" s="77">
        <f t="shared" si="27"/>
        <v>9523</v>
      </c>
      <c r="M33" s="77">
        <f t="shared" si="28"/>
        <v>13015</v>
      </c>
      <c r="N33" s="77"/>
      <c r="O33" s="92">
        <f t="shared" si="30"/>
        <v>8290.6666666666661</v>
      </c>
      <c r="P33" s="135">
        <f t="shared" si="31"/>
        <v>13015</v>
      </c>
      <c r="Q33" s="135">
        <f t="shared" si="32"/>
        <v>2334</v>
      </c>
    </row>
    <row r="34" spans="1:17" ht="16.5" thickTop="1" thickBot="1" x14ac:dyDescent="0.3">
      <c r="A34" s="128" t="s">
        <v>0</v>
      </c>
      <c r="B34" s="137">
        <f t="shared" ref="B34:D34" si="33">SUM(B22:B33)</f>
        <v>173668</v>
      </c>
      <c r="C34" s="137">
        <f t="shared" si="33"/>
        <v>186889</v>
      </c>
      <c r="D34" s="137">
        <f t="shared" si="33"/>
        <v>196001</v>
      </c>
      <c r="E34" s="137">
        <f>SUM(E22:E33)</f>
        <v>195271</v>
      </c>
      <c r="J34" s="138" t="s">
        <v>0</v>
      </c>
      <c r="K34" s="137">
        <f>SUM(K22:K33)</f>
        <v>434036</v>
      </c>
      <c r="L34" s="137">
        <f>SUM(L22:L33)</f>
        <v>370018</v>
      </c>
      <c r="M34" s="137">
        <f>SUM(M22:M33)</f>
        <v>335451</v>
      </c>
      <c r="N34" s="137">
        <f>SUM(N22:N33)</f>
        <v>402632.66666666669</v>
      </c>
    </row>
    <row r="35" spans="1:17" ht="15.75" thickTop="1" x14ac:dyDescent="0.25">
      <c r="A35" s="1" t="s">
        <v>14</v>
      </c>
      <c r="B35" s="1"/>
      <c r="C35" s="1"/>
      <c r="D35" s="1"/>
      <c r="E35" s="1"/>
      <c r="F35" s="1"/>
    </row>
    <row r="36" spans="1:17" x14ac:dyDescent="0.25">
      <c r="A36" s="130" t="s">
        <v>15</v>
      </c>
      <c r="B36" s="127">
        <v>1278</v>
      </c>
      <c r="C36" s="127">
        <v>1278</v>
      </c>
      <c r="D36" s="127">
        <v>1278</v>
      </c>
      <c r="E36" s="127">
        <v>1278</v>
      </c>
      <c r="F36" s="127">
        <v>1278</v>
      </c>
      <c r="G36" s="127">
        <v>1278</v>
      </c>
      <c r="H36" s="127">
        <v>1278</v>
      </c>
    </row>
    <row r="37" spans="1:17" x14ac:dyDescent="0.25">
      <c r="A37" s="130" t="s">
        <v>16</v>
      </c>
      <c r="B37" s="127">
        <v>28713.833333333332</v>
      </c>
      <c r="C37" s="127">
        <v>28713.833333333332</v>
      </c>
      <c r="D37" s="127">
        <v>28713.833333333332</v>
      </c>
      <c r="E37" s="127">
        <v>28713.833333333332</v>
      </c>
      <c r="F37" s="127">
        <v>28713.833333333332</v>
      </c>
      <c r="G37" s="127">
        <v>28713.833333333332</v>
      </c>
      <c r="H37" s="127">
        <v>28713.833333333332</v>
      </c>
    </row>
    <row r="38" spans="1:17" ht="15.75" thickBot="1" x14ac:dyDescent="0.3"/>
    <row r="39" spans="1:17" ht="17.25" thickTop="1" thickBot="1" x14ac:dyDescent="0.3">
      <c r="A39" s="140" t="s">
        <v>92</v>
      </c>
      <c r="B39" s="141"/>
      <c r="C39" s="141"/>
      <c r="D39" s="141"/>
      <c r="E39" s="141"/>
      <c r="F39" s="142"/>
      <c r="J39" s="149" t="s">
        <v>246</v>
      </c>
      <c r="K39" s="164"/>
      <c r="L39" s="164"/>
      <c r="M39" s="164"/>
      <c r="N39" s="164"/>
    </row>
    <row r="40" spans="1:17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J40" s="151"/>
      <c r="K40" s="147">
        <v>2014</v>
      </c>
      <c r="L40" s="147">
        <v>2015</v>
      </c>
      <c r="M40" s="147">
        <v>2016</v>
      </c>
      <c r="N40" s="147">
        <v>2017</v>
      </c>
    </row>
    <row r="41" spans="1:17" x14ac:dyDescent="0.25">
      <c r="A41" s="119" t="s">
        <v>2</v>
      </c>
      <c r="B41" s="84">
        <v>583</v>
      </c>
      <c r="C41" s="84">
        <v>970</v>
      </c>
      <c r="D41" s="84">
        <v>978</v>
      </c>
      <c r="E41" s="84">
        <v>1390</v>
      </c>
      <c r="J41" s="153" t="s">
        <v>2</v>
      </c>
      <c r="K41" s="77">
        <f>-1*K22</f>
        <v>-2187</v>
      </c>
      <c r="L41" s="77">
        <f t="shared" ref="L41:N41" si="34">-1*L22</f>
        <v>-2765</v>
      </c>
      <c r="M41" s="77">
        <f t="shared" si="34"/>
        <v>-13005</v>
      </c>
      <c r="N41" s="77">
        <f t="shared" si="34"/>
        <v>-6578</v>
      </c>
    </row>
    <row r="42" spans="1:17" x14ac:dyDescent="0.25">
      <c r="A42" s="119" t="s">
        <v>3</v>
      </c>
      <c r="B42" s="84">
        <v>1394</v>
      </c>
      <c r="C42" s="84">
        <v>1335</v>
      </c>
      <c r="D42" s="83">
        <v>1429</v>
      </c>
      <c r="E42" s="84">
        <v>1764</v>
      </c>
      <c r="J42" s="153" t="s">
        <v>3</v>
      </c>
      <c r="K42" s="77">
        <f t="shared" ref="K42:N52" si="35">-1*K23</f>
        <v>-7558</v>
      </c>
      <c r="L42" s="77">
        <f t="shared" si="35"/>
        <v>-6143</v>
      </c>
      <c r="M42" s="77">
        <f t="shared" si="35"/>
        <v>-2706</v>
      </c>
      <c r="N42" s="77">
        <f t="shared" si="35"/>
        <v>-8379.6666666666679</v>
      </c>
    </row>
    <row r="43" spans="1:17" x14ac:dyDescent="0.25">
      <c r="A43" s="119" t="s">
        <v>4</v>
      </c>
      <c r="B43" s="84">
        <v>1866</v>
      </c>
      <c r="C43" s="84">
        <v>1373</v>
      </c>
      <c r="D43" s="83">
        <v>1329</v>
      </c>
      <c r="E43" s="84">
        <v>1438</v>
      </c>
      <c r="J43" s="153" t="s">
        <v>4</v>
      </c>
      <c r="K43" s="77">
        <f t="shared" si="35"/>
        <v>-528</v>
      </c>
      <c r="L43" s="77">
        <f t="shared" si="35"/>
        <v>-6932</v>
      </c>
      <c r="M43" s="77">
        <f t="shared" si="35"/>
        <v>-4091</v>
      </c>
      <c r="N43" s="77">
        <f t="shared" si="35"/>
        <v>-2966</v>
      </c>
    </row>
    <row r="44" spans="1:17" x14ac:dyDescent="0.25">
      <c r="A44" s="119" t="s">
        <v>5</v>
      </c>
      <c r="B44" s="84">
        <v>2728</v>
      </c>
      <c r="C44" s="84">
        <v>3061</v>
      </c>
      <c r="D44" s="83">
        <v>3760</v>
      </c>
      <c r="E44" s="84">
        <v>3933</v>
      </c>
      <c r="J44" s="153" t="s">
        <v>5</v>
      </c>
      <c r="K44" s="77">
        <f t="shared" si="35"/>
        <v>-13411</v>
      </c>
      <c r="L44" s="77">
        <f t="shared" si="35"/>
        <v>-4257</v>
      </c>
      <c r="M44" s="77">
        <f t="shared" si="35"/>
        <v>-22972</v>
      </c>
      <c r="N44" s="77">
        <f t="shared" si="35"/>
        <v>-17391.666666666664</v>
      </c>
    </row>
    <row r="45" spans="1:17" x14ac:dyDescent="0.25">
      <c r="A45" s="119" t="s">
        <v>6</v>
      </c>
      <c r="B45" s="84">
        <v>5058</v>
      </c>
      <c r="C45" s="84">
        <v>4120</v>
      </c>
      <c r="D45" s="84">
        <v>3531</v>
      </c>
      <c r="E45" s="84">
        <v>3872</v>
      </c>
      <c r="J45" s="153" t="s">
        <v>6</v>
      </c>
      <c r="K45" s="77">
        <f t="shared" si="35"/>
        <v>-26775</v>
      </c>
      <c r="L45" s="77">
        <f t="shared" si="35"/>
        <v>-16244</v>
      </c>
      <c r="M45" s="77">
        <f t="shared" si="35"/>
        <v>-10280</v>
      </c>
      <c r="N45" s="77">
        <f t="shared" si="35"/>
        <v>-27356.333333333336</v>
      </c>
    </row>
    <row r="46" spans="1:17" x14ac:dyDescent="0.25">
      <c r="A46" s="119" t="s">
        <v>7</v>
      </c>
      <c r="B46" s="84">
        <v>3849</v>
      </c>
      <c r="C46" s="84">
        <v>3830</v>
      </c>
      <c r="D46" s="84">
        <v>4697</v>
      </c>
      <c r="E46" s="84">
        <v>5488</v>
      </c>
      <c r="J46" s="153" t="s">
        <v>7</v>
      </c>
      <c r="K46" s="77">
        <f t="shared" si="35"/>
        <v>-55218</v>
      </c>
      <c r="L46" s="77">
        <f t="shared" si="35"/>
        <v>-49164</v>
      </c>
      <c r="M46" s="77">
        <f t="shared" si="35"/>
        <v>-38736</v>
      </c>
      <c r="N46" s="77">
        <f t="shared" si="35"/>
        <v>-38311.333333333328</v>
      </c>
    </row>
    <row r="47" spans="1:17" x14ac:dyDescent="0.25">
      <c r="A47" s="119" t="s">
        <v>8</v>
      </c>
      <c r="B47" s="84">
        <v>6422</v>
      </c>
      <c r="C47" s="84">
        <v>6047</v>
      </c>
      <c r="D47" s="84">
        <v>7993</v>
      </c>
      <c r="E47" s="84">
        <v>6778</v>
      </c>
      <c r="J47" s="153" t="s">
        <v>8</v>
      </c>
      <c r="K47" s="77">
        <f t="shared" si="35"/>
        <v>-153310</v>
      </c>
      <c r="L47" s="77">
        <f t="shared" si="35"/>
        <v>-109081</v>
      </c>
      <c r="M47" s="77">
        <f t="shared" si="35"/>
        <v>-66220</v>
      </c>
      <c r="N47" s="77">
        <f t="shared" si="35"/>
        <v>-113649</v>
      </c>
    </row>
    <row r="48" spans="1:17" x14ac:dyDescent="0.25">
      <c r="A48" s="119" t="s">
        <v>9</v>
      </c>
      <c r="B48" s="84">
        <v>13469</v>
      </c>
      <c r="C48" s="84">
        <v>9117</v>
      </c>
      <c r="D48" s="84">
        <v>8015</v>
      </c>
      <c r="E48" s="84">
        <v>10048</v>
      </c>
      <c r="J48" s="153" t="s">
        <v>9</v>
      </c>
      <c r="K48" s="77">
        <f t="shared" si="35"/>
        <v>-108568</v>
      </c>
      <c r="L48" s="77">
        <f t="shared" si="35"/>
        <v>-116585</v>
      </c>
      <c r="M48" s="77">
        <f t="shared" si="35"/>
        <v>-90035</v>
      </c>
      <c r="N48" s="77">
        <f t="shared" si="35"/>
        <v>-127419.33333333337</v>
      </c>
    </row>
    <row r="49" spans="1:14" x14ac:dyDescent="0.25">
      <c r="A49" s="119" t="s">
        <v>10</v>
      </c>
      <c r="B49" s="84">
        <v>4918</v>
      </c>
      <c r="C49" s="84">
        <v>4863</v>
      </c>
      <c r="D49" s="84">
        <v>5008</v>
      </c>
      <c r="E49" s="84">
        <v>6502</v>
      </c>
      <c r="J49" s="153" t="s">
        <v>10</v>
      </c>
      <c r="K49" s="77">
        <f t="shared" si="35"/>
        <v>-52973</v>
      </c>
      <c r="L49" s="77">
        <f t="shared" si="35"/>
        <v>-44796</v>
      </c>
      <c r="M49" s="77">
        <f t="shared" si="35"/>
        <v>-52814</v>
      </c>
      <c r="N49" s="77">
        <f t="shared" si="35"/>
        <v>-55726.666666666657</v>
      </c>
    </row>
    <row r="50" spans="1:14" x14ac:dyDescent="0.25">
      <c r="A50" s="119" t="s">
        <v>11</v>
      </c>
      <c r="B50" s="84">
        <v>3869</v>
      </c>
      <c r="C50" s="84">
        <v>4291</v>
      </c>
      <c r="D50" s="84">
        <v>4822</v>
      </c>
      <c r="E50" s="84">
        <v>4561</v>
      </c>
      <c r="J50" s="153" t="s">
        <v>11</v>
      </c>
      <c r="K50" s="77">
        <f t="shared" si="35"/>
        <v>-2132</v>
      </c>
      <c r="L50" s="77">
        <f t="shared" si="35"/>
        <v>2375</v>
      </c>
      <c r="M50" s="77">
        <f t="shared" si="35"/>
        <v>-4670</v>
      </c>
      <c r="N50" s="77">
        <f t="shared" si="35"/>
        <v>-4854.6666666666679</v>
      </c>
    </row>
    <row r="51" spans="1:14" x14ac:dyDescent="0.25">
      <c r="A51" s="119" t="s">
        <v>12</v>
      </c>
      <c r="B51" s="84">
        <v>1280</v>
      </c>
      <c r="C51" s="84">
        <v>1182</v>
      </c>
      <c r="D51" s="84">
        <v>2191</v>
      </c>
      <c r="E51" s="84"/>
      <c r="J51" s="153" t="s">
        <v>12</v>
      </c>
      <c r="K51" s="77">
        <f t="shared" si="35"/>
        <v>-9042</v>
      </c>
      <c r="L51" s="77">
        <f t="shared" si="35"/>
        <v>-6903</v>
      </c>
      <c r="M51" s="77">
        <f t="shared" si="35"/>
        <v>-16907</v>
      </c>
      <c r="N51" s="77"/>
    </row>
    <row r="52" spans="1:14" ht="15.75" thickBot="1" x14ac:dyDescent="0.3">
      <c r="A52" s="119" t="s">
        <v>13</v>
      </c>
      <c r="B52" s="84">
        <v>1543</v>
      </c>
      <c r="C52" s="84">
        <v>1649</v>
      </c>
      <c r="D52" s="84">
        <v>2408</v>
      </c>
      <c r="E52" s="84"/>
      <c r="J52" s="168" t="s">
        <v>13</v>
      </c>
      <c r="K52" s="43">
        <f t="shared" si="35"/>
        <v>-2334</v>
      </c>
      <c r="L52" s="43">
        <f t="shared" si="35"/>
        <v>-9523</v>
      </c>
      <c r="M52" s="43">
        <f t="shared" si="35"/>
        <v>-13015</v>
      </c>
      <c r="N52" s="43"/>
    </row>
    <row r="53" spans="1:14" ht="16.5" thickTop="1" thickBot="1" x14ac:dyDescent="0.3">
      <c r="A53" s="128" t="s">
        <v>0</v>
      </c>
      <c r="B53" s="137">
        <f t="shared" ref="B53:D53" si="36">SUM(B41:B52)</f>
        <v>46979</v>
      </c>
      <c r="C53" s="137">
        <f t="shared" si="36"/>
        <v>41838</v>
      </c>
      <c r="D53" s="137">
        <f t="shared" si="36"/>
        <v>46161</v>
      </c>
      <c r="E53" s="137">
        <f>SUM(E41:E52)</f>
        <v>45774</v>
      </c>
      <c r="I53" s="45"/>
      <c r="J53" s="169" t="s">
        <v>0</v>
      </c>
      <c r="K53" s="170">
        <f>SUM(K41:K52)</f>
        <v>-434036</v>
      </c>
      <c r="L53" s="170">
        <f>SUM(L41:L52)</f>
        <v>-370018</v>
      </c>
      <c r="M53" s="170">
        <f>SUM(M41:M52)</f>
        <v>-335451</v>
      </c>
      <c r="N53" s="170">
        <f>SUM(N41:N52)</f>
        <v>-402632.66666666669</v>
      </c>
    </row>
    <row r="54" spans="1:14" ht="15.75" thickTop="1" x14ac:dyDescent="0.25">
      <c r="A54" s="1" t="s">
        <v>14</v>
      </c>
      <c r="B54" s="1"/>
      <c r="C54" s="1"/>
      <c r="D54" s="1"/>
      <c r="E54" s="1"/>
      <c r="F54" s="1"/>
    </row>
    <row r="55" spans="1:14" ht="15.75" thickBot="1" x14ac:dyDescent="0.3"/>
    <row r="56" spans="1:14" ht="17.25" thickTop="1" thickBot="1" x14ac:dyDescent="0.3">
      <c r="A56" s="140" t="s">
        <v>78</v>
      </c>
      <c r="B56" s="141"/>
      <c r="C56" s="141"/>
      <c r="D56" s="141"/>
      <c r="E56" s="141"/>
    </row>
    <row r="57" spans="1:14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</row>
    <row r="58" spans="1:14" x14ac:dyDescent="0.25">
      <c r="A58" s="119" t="s">
        <v>2</v>
      </c>
      <c r="B58" s="84">
        <f t="shared" ref="B58:E69" si="37">B22+B41</f>
        <v>583</v>
      </c>
      <c r="C58" s="84">
        <f t="shared" si="37"/>
        <v>1065</v>
      </c>
      <c r="D58" s="84">
        <f t="shared" si="37"/>
        <v>978</v>
      </c>
      <c r="E58" s="84">
        <f t="shared" si="37"/>
        <v>1916</v>
      </c>
    </row>
    <row r="59" spans="1:14" x14ac:dyDescent="0.25">
      <c r="A59" s="119" t="s">
        <v>3</v>
      </c>
      <c r="B59" s="84">
        <f t="shared" si="37"/>
        <v>1542</v>
      </c>
      <c r="C59" s="84">
        <f t="shared" si="37"/>
        <v>1696</v>
      </c>
      <c r="D59" s="84">
        <f t="shared" si="37"/>
        <v>1429</v>
      </c>
      <c r="E59" s="84">
        <f t="shared" si="37"/>
        <v>2246</v>
      </c>
    </row>
    <row r="60" spans="1:14" x14ac:dyDescent="0.25">
      <c r="A60" s="119" t="s">
        <v>4</v>
      </c>
      <c r="B60" s="84">
        <f t="shared" si="37"/>
        <v>1866</v>
      </c>
      <c r="C60" s="84">
        <f t="shared" si="37"/>
        <v>1540</v>
      </c>
      <c r="D60" s="84">
        <f t="shared" si="37"/>
        <v>1329</v>
      </c>
      <c r="E60" s="84">
        <f t="shared" si="37"/>
        <v>1438</v>
      </c>
      <c r="J60" s="127"/>
    </row>
    <row r="61" spans="1:14" x14ac:dyDescent="0.25">
      <c r="A61" s="119" t="s">
        <v>5</v>
      </c>
      <c r="B61" s="84">
        <f t="shared" si="37"/>
        <v>9102</v>
      </c>
      <c r="C61" s="84">
        <f t="shared" si="37"/>
        <v>9250</v>
      </c>
      <c r="D61" s="84">
        <f t="shared" si="37"/>
        <v>15614</v>
      </c>
      <c r="E61" s="84">
        <f t="shared" si="37"/>
        <v>18071</v>
      </c>
      <c r="I61" s="127"/>
      <c r="J61" s="127"/>
      <c r="K61" s="122"/>
      <c r="L61" s="131"/>
    </row>
    <row r="62" spans="1:14" x14ac:dyDescent="0.25">
      <c r="A62" s="119" t="s">
        <v>6</v>
      </c>
      <c r="B62" s="84">
        <f t="shared" si="37"/>
        <v>20547</v>
      </c>
      <c r="C62" s="84">
        <f t="shared" si="37"/>
        <v>13747</v>
      </c>
      <c r="D62" s="84">
        <f t="shared" si="37"/>
        <v>13120</v>
      </c>
      <c r="E62" s="84">
        <f t="shared" si="37"/>
        <v>19643</v>
      </c>
      <c r="I62" s="127"/>
      <c r="J62" s="127"/>
      <c r="K62" s="122"/>
    </row>
    <row r="63" spans="1:14" x14ac:dyDescent="0.25">
      <c r="A63" s="119" t="s">
        <v>7</v>
      </c>
      <c r="B63" s="84">
        <f t="shared" si="37"/>
        <v>20688</v>
      </c>
      <c r="C63" s="84">
        <f t="shared" si="37"/>
        <v>20065</v>
      </c>
      <c r="D63" s="84">
        <f t="shared" si="37"/>
        <v>25851</v>
      </c>
      <c r="E63" s="84">
        <f t="shared" si="37"/>
        <v>24576</v>
      </c>
    </row>
    <row r="64" spans="1:14" x14ac:dyDescent="0.25">
      <c r="A64" s="119" t="s">
        <v>8</v>
      </c>
      <c r="B64" s="84">
        <f t="shared" si="37"/>
        <v>55358</v>
      </c>
      <c r="C64" s="84">
        <f t="shared" si="37"/>
        <v>59515</v>
      </c>
      <c r="D64" s="84">
        <f t="shared" si="37"/>
        <v>61303</v>
      </c>
      <c r="E64" s="84">
        <f t="shared" si="37"/>
        <v>62490</v>
      </c>
    </row>
    <row r="65" spans="1:5" x14ac:dyDescent="0.25">
      <c r="A65" s="119" t="s">
        <v>9</v>
      </c>
      <c r="B65" s="84">
        <f t="shared" si="37"/>
        <v>80974</v>
      </c>
      <c r="C65" s="84">
        <f t="shared" si="37"/>
        <v>92723</v>
      </c>
      <c r="D65" s="84">
        <f t="shared" si="37"/>
        <v>76119</v>
      </c>
      <c r="E65" s="84">
        <f t="shared" si="37"/>
        <v>70212</v>
      </c>
    </row>
    <row r="66" spans="1:5" x14ac:dyDescent="0.25">
      <c r="A66" s="119" t="s">
        <v>10</v>
      </c>
      <c r="B66" s="84">
        <f t="shared" si="37"/>
        <v>19554</v>
      </c>
      <c r="C66" s="84">
        <f t="shared" si="37"/>
        <v>20128</v>
      </c>
      <c r="D66" s="84">
        <f t="shared" si="37"/>
        <v>29631</v>
      </c>
      <c r="E66" s="84">
        <f t="shared" si="37"/>
        <v>29425</v>
      </c>
    </row>
    <row r="67" spans="1:5" x14ac:dyDescent="0.25">
      <c r="A67" s="119" t="s">
        <v>11</v>
      </c>
      <c r="B67" s="84">
        <f t="shared" si="37"/>
        <v>6093</v>
      </c>
      <c r="C67" s="84">
        <f t="shared" si="37"/>
        <v>6167</v>
      </c>
      <c r="D67" s="84">
        <f t="shared" si="37"/>
        <v>11145</v>
      </c>
      <c r="E67" s="84">
        <f t="shared" si="37"/>
        <v>11028</v>
      </c>
    </row>
    <row r="68" spans="1:5" x14ac:dyDescent="0.25">
      <c r="A68" s="119" t="s">
        <v>12</v>
      </c>
      <c r="B68" s="84">
        <f t="shared" si="37"/>
        <v>2358</v>
      </c>
      <c r="C68" s="84">
        <f t="shared" si="37"/>
        <v>1182</v>
      </c>
      <c r="D68" s="84">
        <f t="shared" si="37"/>
        <v>2191</v>
      </c>
      <c r="E68" s="84"/>
    </row>
    <row r="69" spans="1:5" ht="15.75" thickBot="1" x14ac:dyDescent="0.3">
      <c r="A69" s="119" t="s">
        <v>13</v>
      </c>
      <c r="B69" s="84">
        <f t="shared" si="37"/>
        <v>1982</v>
      </c>
      <c r="C69" s="84">
        <f t="shared" si="37"/>
        <v>1649</v>
      </c>
      <c r="D69" s="84">
        <f t="shared" si="37"/>
        <v>3452</v>
      </c>
      <c r="E69" s="84"/>
    </row>
    <row r="70" spans="1:5" ht="16.5" thickTop="1" thickBot="1" x14ac:dyDescent="0.3">
      <c r="A70" s="128" t="s">
        <v>0</v>
      </c>
      <c r="B70" s="137">
        <f t="shared" ref="B70:D70" si="38">SUM(B58:B69)</f>
        <v>220647</v>
      </c>
      <c r="C70" s="137">
        <f t="shared" si="38"/>
        <v>228727</v>
      </c>
      <c r="D70" s="137">
        <f t="shared" si="38"/>
        <v>242162</v>
      </c>
      <c r="E70" s="137">
        <f>SUM(E58:E69)</f>
        <v>241045</v>
      </c>
    </row>
    <row r="71" spans="1:5" ht="16.5" thickTop="1" thickBot="1" x14ac:dyDescent="0.3"/>
    <row r="72" spans="1:5" ht="17.25" thickTop="1" thickBot="1" x14ac:dyDescent="0.3">
      <c r="A72" s="140" t="s">
        <v>121</v>
      </c>
      <c r="B72" s="141"/>
      <c r="C72" s="141"/>
      <c r="D72" s="141"/>
      <c r="E72" s="141"/>
    </row>
    <row r="73" spans="1:5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</row>
    <row r="74" spans="1:5" x14ac:dyDescent="0.25">
      <c r="A74" s="119" t="s">
        <v>2</v>
      </c>
      <c r="B74" s="118">
        <v>278</v>
      </c>
      <c r="C74" s="118">
        <v>354</v>
      </c>
      <c r="D74" s="84">
        <v>1595</v>
      </c>
      <c r="E74" s="118">
        <v>652</v>
      </c>
    </row>
    <row r="75" spans="1:5" x14ac:dyDescent="0.25">
      <c r="A75" s="119" t="s">
        <v>3</v>
      </c>
      <c r="B75" s="118">
        <v>276</v>
      </c>
      <c r="C75" s="118">
        <v>465</v>
      </c>
      <c r="D75" s="118">
        <v>365</v>
      </c>
      <c r="E75" s="118">
        <v>793</v>
      </c>
    </row>
    <row r="76" spans="1:5" x14ac:dyDescent="0.25">
      <c r="A76" s="119" t="s">
        <v>4</v>
      </c>
      <c r="B76" s="118">
        <v>654</v>
      </c>
      <c r="C76" s="118">
        <v>760</v>
      </c>
      <c r="D76" s="118">
        <v>548</v>
      </c>
      <c r="E76" s="118">
        <v>972</v>
      </c>
    </row>
    <row r="77" spans="1:5" x14ac:dyDescent="0.25">
      <c r="A77" s="119" t="s">
        <v>5</v>
      </c>
      <c r="B77" s="84">
        <v>4227</v>
      </c>
      <c r="C77" s="84">
        <v>0</v>
      </c>
      <c r="D77" s="118">
        <v>590</v>
      </c>
      <c r="E77" s="84">
        <v>0</v>
      </c>
    </row>
    <row r="78" spans="1:5" x14ac:dyDescent="0.25">
      <c r="A78" s="119" t="s">
        <v>6</v>
      </c>
      <c r="B78" s="84">
        <v>6802</v>
      </c>
      <c r="C78" s="84">
        <v>2391</v>
      </c>
      <c r="D78" s="84">
        <v>0</v>
      </c>
      <c r="E78" s="118">
        <v>283</v>
      </c>
    </row>
    <row r="79" spans="1:5" x14ac:dyDescent="0.25">
      <c r="A79" s="119" t="s">
        <v>7</v>
      </c>
      <c r="B79" s="84">
        <v>13293</v>
      </c>
      <c r="C79" s="84">
        <v>6996</v>
      </c>
      <c r="D79" s="84">
        <v>2625</v>
      </c>
      <c r="E79" s="84">
        <v>9471</v>
      </c>
    </row>
    <row r="80" spans="1:5" x14ac:dyDescent="0.25">
      <c r="A80" s="119" t="s">
        <v>8</v>
      </c>
      <c r="B80" s="84">
        <v>61547</v>
      </c>
      <c r="C80" s="84">
        <v>54033</v>
      </c>
      <c r="D80" s="84">
        <v>31048</v>
      </c>
      <c r="E80" s="84">
        <v>28036</v>
      </c>
    </row>
    <row r="81" spans="1:5" x14ac:dyDescent="0.25">
      <c r="A81" s="119" t="s">
        <v>9</v>
      </c>
      <c r="B81" s="84">
        <v>101320</v>
      </c>
      <c r="C81" s="84">
        <v>96324</v>
      </c>
      <c r="D81" s="84">
        <v>74862</v>
      </c>
      <c r="E81" s="84">
        <v>65086</v>
      </c>
    </row>
    <row r="82" spans="1:5" x14ac:dyDescent="0.25">
      <c r="A82" s="119" t="s">
        <v>10</v>
      </c>
      <c r="B82" s="84">
        <v>25836</v>
      </c>
      <c r="C82" s="84">
        <v>17866</v>
      </c>
      <c r="D82" s="84">
        <v>12261</v>
      </c>
      <c r="E82" s="84">
        <v>16016</v>
      </c>
    </row>
    <row r="83" spans="1:5" x14ac:dyDescent="0.25">
      <c r="A83" s="119" t="s">
        <v>11</v>
      </c>
      <c r="B83" s="84">
        <v>1751</v>
      </c>
      <c r="C83" s="84">
        <v>0</v>
      </c>
      <c r="D83" s="84">
        <v>1825</v>
      </c>
      <c r="E83" s="84">
        <v>1292</v>
      </c>
    </row>
    <row r="84" spans="1:5" x14ac:dyDescent="0.25">
      <c r="A84" s="119" t="s">
        <v>12</v>
      </c>
      <c r="B84" s="118">
        <v>924</v>
      </c>
      <c r="C84" s="118">
        <v>867</v>
      </c>
      <c r="D84" s="84">
        <v>0</v>
      </c>
      <c r="E84" s="84"/>
    </row>
    <row r="85" spans="1:5" ht="15.75" thickBot="1" x14ac:dyDescent="0.3">
      <c r="A85" s="119" t="s">
        <v>13</v>
      </c>
      <c r="B85" s="113">
        <v>1956</v>
      </c>
      <c r="C85" s="113">
        <v>1956</v>
      </c>
      <c r="D85" s="117">
        <v>902</v>
      </c>
      <c r="E85" s="132"/>
    </row>
    <row r="86" spans="1:5" ht="16.5" thickTop="1" thickBot="1" x14ac:dyDescent="0.3">
      <c r="A86" s="128" t="s">
        <v>0</v>
      </c>
      <c r="B86" s="129">
        <f t="shared" ref="B86:D86" si="39">SUM(B74:B85)</f>
        <v>218864</v>
      </c>
      <c r="C86" s="129">
        <f t="shared" si="39"/>
        <v>182012</v>
      </c>
      <c r="D86" s="129">
        <f t="shared" si="39"/>
        <v>126621</v>
      </c>
      <c r="E86" s="129">
        <f>SUM(E74:E85)</f>
        <v>122601</v>
      </c>
    </row>
    <row r="87" spans="1:5" ht="16.5" thickTop="1" thickBot="1" x14ac:dyDescent="0.3"/>
    <row r="88" spans="1:5" ht="17.25" thickTop="1" thickBot="1" x14ac:dyDescent="0.3">
      <c r="A88" s="140" t="s">
        <v>123</v>
      </c>
      <c r="B88" s="141"/>
      <c r="C88" s="141"/>
      <c r="D88" s="141"/>
      <c r="E88" s="141"/>
    </row>
    <row r="89" spans="1:5" ht="16.5" thickTop="1" x14ac:dyDescent="0.25">
      <c r="A89" s="124"/>
      <c r="B89" s="125">
        <v>2014</v>
      </c>
      <c r="C89" s="125">
        <v>2015</v>
      </c>
      <c r="D89" s="125">
        <v>2016</v>
      </c>
      <c r="E89" s="125">
        <v>2017</v>
      </c>
    </row>
    <row r="90" spans="1:5" x14ac:dyDescent="0.25">
      <c r="A90" s="119" t="s">
        <v>2</v>
      </c>
      <c r="B90" s="77">
        <f>B58+B74</f>
        <v>861</v>
      </c>
      <c r="C90" s="77">
        <f t="shared" ref="C90:E90" si="40">C58+C74</f>
        <v>1419</v>
      </c>
      <c r="D90" s="77">
        <f t="shared" si="40"/>
        <v>2573</v>
      </c>
      <c r="E90" s="77">
        <f t="shared" si="40"/>
        <v>2568</v>
      </c>
    </row>
    <row r="91" spans="1:5" x14ac:dyDescent="0.25">
      <c r="A91" s="119" t="s">
        <v>3</v>
      </c>
      <c r="B91" s="77">
        <f t="shared" ref="B91:E101" si="41">B59+B75</f>
        <v>1818</v>
      </c>
      <c r="C91" s="77">
        <f t="shared" si="41"/>
        <v>2161</v>
      </c>
      <c r="D91" s="77">
        <f t="shared" si="41"/>
        <v>1794</v>
      </c>
      <c r="E91" s="77">
        <f t="shared" si="41"/>
        <v>3039</v>
      </c>
    </row>
    <row r="92" spans="1:5" x14ac:dyDescent="0.25">
      <c r="A92" s="119" t="s">
        <v>4</v>
      </c>
      <c r="B92" s="77">
        <f t="shared" si="41"/>
        <v>2520</v>
      </c>
      <c r="C92" s="77">
        <f t="shared" si="41"/>
        <v>2300</v>
      </c>
      <c r="D92" s="77">
        <f t="shared" si="41"/>
        <v>1877</v>
      </c>
      <c r="E92" s="77">
        <f t="shared" si="41"/>
        <v>2410</v>
      </c>
    </row>
    <row r="93" spans="1:5" x14ac:dyDescent="0.25">
      <c r="A93" s="119" t="s">
        <v>5</v>
      </c>
      <c r="B93" s="77">
        <f t="shared" si="41"/>
        <v>13329</v>
      </c>
      <c r="C93" s="77">
        <f t="shared" si="41"/>
        <v>9250</v>
      </c>
      <c r="D93" s="77">
        <f t="shared" si="41"/>
        <v>16204</v>
      </c>
      <c r="E93" s="77">
        <f t="shared" si="41"/>
        <v>18071</v>
      </c>
    </row>
    <row r="94" spans="1:5" x14ac:dyDescent="0.25">
      <c r="A94" s="119" t="s">
        <v>6</v>
      </c>
      <c r="B94" s="77">
        <f t="shared" si="41"/>
        <v>27349</v>
      </c>
      <c r="C94" s="77">
        <f t="shared" si="41"/>
        <v>16138</v>
      </c>
      <c r="D94" s="77">
        <f t="shared" si="41"/>
        <v>13120</v>
      </c>
      <c r="E94" s="77">
        <f t="shared" si="41"/>
        <v>19926</v>
      </c>
    </row>
    <row r="95" spans="1:5" x14ac:dyDescent="0.25">
      <c r="A95" s="119" t="s">
        <v>7</v>
      </c>
      <c r="B95" s="77">
        <f t="shared" si="41"/>
        <v>33981</v>
      </c>
      <c r="C95" s="77">
        <f t="shared" si="41"/>
        <v>27061</v>
      </c>
      <c r="D95" s="77">
        <f t="shared" si="41"/>
        <v>28476</v>
      </c>
      <c r="E95" s="77">
        <f t="shared" si="41"/>
        <v>34047</v>
      </c>
    </row>
    <row r="96" spans="1:5" x14ac:dyDescent="0.25">
      <c r="A96" s="119" t="s">
        <v>8</v>
      </c>
      <c r="B96" s="77">
        <f t="shared" si="41"/>
        <v>116905</v>
      </c>
      <c r="C96" s="77">
        <f t="shared" si="41"/>
        <v>113548</v>
      </c>
      <c r="D96" s="77">
        <f t="shared" si="41"/>
        <v>92351</v>
      </c>
      <c r="E96" s="77">
        <f t="shared" si="41"/>
        <v>90526</v>
      </c>
    </row>
    <row r="97" spans="1:8" x14ac:dyDescent="0.25">
      <c r="A97" s="119" t="s">
        <v>9</v>
      </c>
      <c r="B97" s="77">
        <f t="shared" si="41"/>
        <v>182294</v>
      </c>
      <c r="C97" s="77">
        <f t="shared" si="41"/>
        <v>189047</v>
      </c>
      <c r="D97" s="77">
        <f t="shared" si="41"/>
        <v>150981</v>
      </c>
      <c r="E97" s="77">
        <f t="shared" si="41"/>
        <v>135298</v>
      </c>
    </row>
    <row r="98" spans="1:8" x14ac:dyDescent="0.25">
      <c r="A98" s="119" t="s">
        <v>10</v>
      </c>
      <c r="B98" s="77">
        <f t="shared" si="41"/>
        <v>45390</v>
      </c>
      <c r="C98" s="77">
        <f t="shared" si="41"/>
        <v>37994</v>
      </c>
      <c r="D98" s="77">
        <f t="shared" si="41"/>
        <v>41892</v>
      </c>
      <c r="E98" s="77">
        <f t="shared" si="41"/>
        <v>45441</v>
      </c>
    </row>
    <row r="99" spans="1:8" x14ac:dyDescent="0.25">
      <c r="A99" s="119" t="s">
        <v>11</v>
      </c>
      <c r="B99" s="77">
        <f t="shared" si="41"/>
        <v>7844</v>
      </c>
      <c r="C99" s="77">
        <f t="shared" si="41"/>
        <v>6167</v>
      </c>
      <c r="D99" s="77">
        <f t="shared" si="41"/>
        <v>12970</v>
      </c>
      <c r="E99" s="77">
        <f t="shared" si="41"/>
        <v>12320</v>
      </c>
    </row>
    <row r="100" spans="1:8" x14ac:dyDescent="0.25">
      <c r="A100" s="119" t="s">
        <v>12</v>
      </c>
      <c r="B100" s="77">
        <f t="shared" si="41"/>
        <v>3282</v>
      </c>
      <c r="C100" s="77">
        <f t="shared" si="41"/>
        <v>2049</v>
      </c>
      <c r="D100" s="77">
        <f t="shared" si="41"/>
        <v>2191</v>
      </c>
      <c r="E100" s="77">
        <f t="shared" si="41"/>
        <v>0</v>
      </c>
    </row>
    <row r="101" spans="1:8" ht="15.75" thickBot="1" x14ac:dyDescent="0.3">
      <c r="A101" s="139" t="s">
        <v>13</v>
      </c>
      <c r="B101" s="43">
        <f t="shared" si="41"/>
        <v>3938</v>
      </c>
      <c r="C101" s="43">
        <f t="shared" si="41"/>
        <v>3605</v>
      </c>
      <c r="D101" s="43">
        <f t="shared" si="41"/>
        <v>4354</v>
      </c>
      <c r="E101" s="43">
        <f t="shared" si="41"/>
        <v>0</v>
      </c>
    </row>
    <row r="102" spans="1:8" ht="16.5" thickTop="1" thickBot="1" x14ac:dyDescent="0.3">
      <c r="A102" s="138" t="s">
        <v>0</v>
      </c>
      <c r="B102" s="137">
        <f t="shared" ref="B102:C102" si="42">SUM(B90:B101)</f>
        <v>439511</v>
      </c>
      <c r="C102" s="137">
        <f t="shared" si="42"/>
        <v>410739</v>
      </c>
      <c r="D102" s="137">
        <f>SUM(D90:D101)</f>
        <v>368783</v>
      </c>
      <c r="E102" s="137">
        <f>SUM(E90:E101)</f>
        <v>363646</v>
      </c>
    </row>
    <row r="103" spans="1:8" ht="16.5" thickTop="1" thickBot="1" x14ac:dyDescent="0.3"/>
    <row r="104" spans="1:8" ht="17.25" thickTop="1" thickBot="1" x14ac:dyDescent="0.3">
      <c r="A104" s="140" t="s">
        <v>128</v>
      </c>
      <c r="B104" s="142"/>
    </row>
    <row r="105" spans="1:8" ht="16.5" thickTop="1" x14ac:dyDescent="0.25">
      <c r="A105" s="124"/>
      <c r="B105" s="125">
        <v>2014</v>
      </c>
      <c r="C105" s="125">
        <v>2015</v>
      </c>
      <c r="D105" s="125">
        <v>2016</v>
      </c>
      <c r="E105" s="125">
        <v>2017</v>
      </c>
      <c r="F105" s="126" t="s">
        <v>1</v>
      </c>
      <c r="G105" s="117" t="s">
        <v>18</v>
      </c>
      <c r="H105" s="117" t="s">
        <v>17</v>
      </c>
    </row>
    <row r="106" spans="1:8" x14ac:dyDescent="0.25">
      <c r="A106" s="119" t="s">
        <v>2</v>
      </c>
      <c r="B106" s="77">
        <v>3048</v>
      </c>
      <c r="C106" s="77">
        <v>3124</v>
      </c>
      <c r="D106" s="77">
        <v>15578</v>
      </c>
      <c r="E106" s="179">
        <f t="shared" ref="E106:F117" si="43">AVERAGE(A106:D106)</f>
        <v>7250</v>
      </c>
      <c r="F106" s="127">
        <f t="shared" si="43"/>
        <v>7250</v>
      </c>
      <c r="G106" s="127">
        <f t="shared" ref="G106:G117" si="44">STDEVA(B106:E106)</f>
        <v>5888.8670104415387</v>
      </c>
      <c r="H106" s="127">
        <f t="shared" ref="H106:H117" si="45">STDEVA(B106:E106)</f>
        <v>5888.8670104415387</v>
      </c>
    </row>
    <row r="107" spans="1:8" x14ac:dyDescent="0.25">
      <c r="A107" s="119" t="s">
        <v>3</v>
      </c>
      <c r="B107" s="77">
        <v>8316</v>
      </c>
      <c r="C107" s="77">
        <v>4064</v>
      </c>
      <c r="D107" s="77">
        <v>4500</v>
      </c>
      <c r="E107" s="179">
        <f t="shared" si="43"/>
        <v>5626.666666666667</v>
      </c>
      <c r="F107" s="127">
        <f t="shared" si="43"/>
        <v>5626.666666666667</v>
      </c>
      <c r="G107" s="127">
        <f t="shared" si="44"/>
        <v>1909.9579983747176</v>
      </c>
      <c r="H107" s="127">
        <f t="shared" si="45"/>
        <v>1909.9579983747176</v>
      </c>
    </row>
    <row r="108" spans="1:8" x14ac:dyDescent="0.25">
      <c r="A108" s="119" t="s">
        <v>4</v>
      </c>
      <c r="B108" s="77">
        <v>3048</v>
      </c>
      <c r="C108" s="77">
        <v>7112</v>
      </c>
      <c r="D108" s="77">
        <v>5968</v>
      </c>
      <c r="E108" s="179">
        <f t="shared" si="43"/>
        <v>5376</v>
      </c>
      <c r="F108" s="127">
        <f t="shared" si="43"/>
        <v>5376</v>
      </c>
      <c r="G108" s="127">
        <f t="shared" si="44"/>
        <v>1711.1150360705344</v>
      </c>
      <c r="H108" s="127">
        <f t="shared" si="45"/>
        <v>1711.1150360705344</v>
      </c>
    </row>
    <row r="109" spans="1:8" x14ac:dyDescent="0.25">
      <c r="A109" s="119" t="s">
        <v>5</v>
      </c>
      <c r="B109" s="77">
        <v>11636</v>
      </c>
      <c r="C109" s="77">
        <v>0</v>
      </c>
      <c r="D109" s="77">
        <v>1896</v>
      </c>
      <c r="E109" s="179">
        <f t="shared" si="43"/>
        <v>4510.666666666667</v>
      </c>
      <c r="F109" s="127">
        <f t="shared" si="43"/>
        <v>4510.666666666667</v>
      </c>
      <c r="G109" s="127">
        <f t="shared" si="44"/>
        <v>5097.482079964142</v>
      </c>
      <c r="H109" s="127">
        <f t="shared" si="45"/>
        <v>5097.482079964142</v>
      </c>
    </row>
    <row r="110" spans="1:8" x14ac:dyDescent="0.25">
      <c r="A110" s="119" t="s">
        <v>6</v>
      </c>
      <c r="B110" s="77">
        <f>7156+9144</f>
        <v>16300</v>
      </c>
      <c r="C110" s="77">
        <v>5757</v>
      </c>
      <c r="D110" s="77">
        <v>0</v>
      </c>
      <c r="E110" s="179">
        <f t="shared" si="43"/>
        <v>7352.333333333333</v>
      </c>
      <c r="F110" s="127">
        <f t="shared" si="43"/>
        <v>7352.333333333333</v>
      </c>
      <c r="G110" s="127">
        <f t="shared" si="44"/>
        <v>6749.3859638406284</v>
      </c>
      <c r="H110" s="127">
        <f t="shared" si="45"/>
        <v>6749.3859638406284</v>
      </c>
    </row>
    <row r="111" spans="1:8" x14ac:dyDescent="0.25">
      <c r="A111" s="119" t="s">
        <v>7</v>
      </c>
      <c r="B111" s="77">
        <f>45806+7112</f>
        <v>52918</v>
      </c>
      <c r="C111" s="77">
        <v>28437</v>
      </c>
      <c r="D111" s="77">
        <v>9549</v>
      </c>
      <c r="E111" s="179">
        <f t="shared" si="43"/>
        <v>30301.333333333332</v>
      </c>
      <c r="F111" s="127">
        <f t="shared" si="43"/>
        <v>30301.333333333332</v>
      </c>
      <c r="G111" s="127">
        <f t="shared" si="44"/>
        <v>17754.329881906433</v>
      </c>
      <c r="H111" s="127">
        <f t="shared" si="45"/>
        <v>17754.329881906433</v>
      </c>
    </row>
    <row r="112" spans="1:8" x14ac:dyDescent="0.25">
      <c r="A112" s="119" t="s">
        <v>8</v>
      </c>
      <c r="B112" s="77">
        <f>111076+54155</f>
        <v>165231</v>
      </c>
      <c r="C112" s="77">
        <v>114172</v>
      </c>
      <c r="D112" s="77">
        <v>55877</v>
      </c>
      <c r="E112" s="179">
        <f t="shared" si="43"/>
        <v>111760</v>
      </c>
      <c r="F112" s="127">
        <f t="shared" si="43"/>
        <v>111760</v>
      </c>
      <c r="G112" s="127">
        <f t="shared" si="44"/>
        <v>44676.150513072032</v>
      </c>
      <c r="H112" s="127">
        <f t="shared" si="45"/>
        <v>44676.150513072032</v>
      </c>
    </row>
    <row r="113" spans="1:8" x14ac:dyDescent="0.25">
      <c r="A113" s="119" t="s">
        <v>9</v>
      </c>
      <c r="B113" s="77">
        <f>122452+63528</f>
        <v>185980</v>
      </c>
      <c r="C113" s="77">
        <v>173200</v>
      </c>
      <c r="D113" s="77">
        <v>137126</v>
      </c>
      <c r="E113" s="179">
        <f t="shared" si="43"/>
        <v>165435.33333333334</v>
      </c>
      <c r="F113" s="127">
        <f t="shared" si="43"/>
        <v>165435.33333333334</v>
      </c>
      <c r="G113" s="127">
        <f t="shared" si="44"/>
        <v>20686.482951166094</v>
      </c>
      <c r="H113" s="127">
        <f t="shared" si="45"/>
        <v>20686.482951166094</v>
      </c>
    </row>
    <row r="114" spans="1:8" x14ac:dyDescent="0.25">
      <c r="A114" s="119" t="s">
        <v>10</v>
      </c>
      <c r="B114" s="77">
        <f>55122+12422</f>
        <v>67544</v>
      </c>
      <c r="C114" s="77">
        <v>51853</v>
      </c>
      <c r="D114" s="77">
        <v>38354</v>
      </c>
      <c r="E114" s="179">
        <f t="shared" si="43"/>
        <v>52583.666666666664</v>
      </c>
      <c r="F114" s="127">
        <f t="shared" si="43"/>
        <v>52583.666666666664</v>
      </c>
      <c r="G114" s="127">
        <f t="shared" si="44"/>
        <v>11927.962394679542</v>
      </c>
      <c r="H114" s="127">
        <f t="shared" si="45"/>
        <v>11927.962394679542</v>
      </c>
    </row>
    <row r="115" spans="1:8" x14ac:dyDescent="0.25">
      <c r="A115" s="119" t="s">
        <v>11</v>
      </c>
      <c r="B115" s="77">
        <v>4064</v>
      </c>
      <c r="C115" s="77">
        <v>0</v>
      </c>
      <c r="D115" s="77">
        <v>0</v>
      </c>
      <c r="E115" s="179">
        <f t="shared" si="43"/>
        <v>1354.6666666666667</v>
      </c>
      <c r="F115" s="127">
        <f t="shared" si="43"/>
        <v>1354.6666666666667</v>
      </c>
      <c r="G115" s="127">
        <f t="shared" si="44"/>
        <v>1915.7879724947525</v>
      </c>
      <c r="H115" s="127">
        <f t="shared" si="45"/>
        <v>1915.7879724947525</v>
      </c>
    </row>
    <row r="116" spans="1:8" x14ac:dyDescent="0.25">
      <c r="A116" s="119" t="s">
        <v>12</v>
      </c>
      <c r="B116" s="77">
        <v>4292</v>
      </c>
      <c r="C116" s="77">
        <v>8952</v>
      </c>
      <c r="D116" s="77">
        <v>19098</v>
      </c>
      <c r="E116" s="179"/>
      <c r="F116" s="127">
        <f t="shared" si="43"/>
        <v>10780.666666666666</v>
      </c>
      <c r="G116" s="127">
        <f t="shared" si="44"/>
        <v>7570.497033440628</v>
      </c>
      <c r="H116" s="127">
        <f t="shared" si="45"/>
        <v>7570.497033440628</v>
      </c>
    </row>
    <row r="117" spans="1:8" ht="15.75" thickBot="1" x14ac:dyDescent="0.3">
      <c r="A117" s="139" t="s">
        <v>13</v>
      </c>
      <c r="B117" s="43">
        <v>2032</v>
      </c>
      <c r="C117" s="43">
        <v>13128</v>
      </c>
      <c r="D117" s="43">
        <v>9549</v>
      </c>
      <c r="E117" s="179"/>
      <c r="F117" s="127">
        <f t="shared" si="43"/>
        <v>8236.3333333333339</v>
      </c>
      <c r="G117" s="127">
        <f t="shared" si="44"/>
        <v>5663.2697563627789</v>
      </c>
      <c r="H117" s="127">
        <f t="shared" si="45"/>
        <v>5663.2697563627789</v>
      </c>
    </row>
    <row r="118" spans="1:8" ht="16.5" thickTop="1" thickBot="1" x14ac:dyDescent="0.3">
      <c r="A118" s="138" t="s">
        <v>0</v>
      </c>
      <c r="B118" s="137">
        <f t="shared" ref="B118:D118" si="46">SUM(B106:B117)</f>
        <v>524409</v>
      </c>
      <c r="C118" s="137">
        <f t="shared" si="46"/>
        <v>409799</v>
      </c>
      <c r="D118" s="137">
        <f t="shared" si="46"/>
        <v>297495</v>
      </c>
      <c r="E118" s="137">
        <f t="shared" ref="E118" si="47">SUM(E106:E117)</f>
        <v>391550.66666666674</v>
      </c>
    </row>
    <row r="119" spans="1:8" ht="15.75" thickTop="1" x14ac:dyDescent="0.25">
      <c r="A119" s="1" t="s">
        <v>132</v>
      </c>
      <c r="B119" s="1"/>
      <c r="F119" s="127"/>
    </row>
    <row r="120" spans="1:8" x14ac:dyDescent="0.25">
      <c r="A120" s="130" t="s">
        <v>15</v>
      </c>
      <c r="B120" s="127">
        <f t="shared" ref="B120:G120" si="48">AVERAGE(B106:B108,B115:B117)</f>
        <v>4133.333333333333</v>
      </c>
      <c r="C120" s="127">
        <f t="shared" si="48"/>
        <v>6063.333333333333</v>
      </c>
      <c r="D120" s="127">
        <f t="shared" si="48"/>
        <v>9115.5</v>
      </c>
      <c r="E120" s="127">
        <f t="shared" si="48"/>
        <v>4901.8333333333339</v>
      </c>
      <c r="F120" s="127">
        <f t="shared" si="48"/>
        <v>6437.3888888888896</v>
      </c>
      <c r="G120" s="127">
        <f t="shared" si="48"/>
        <v>4109.9158011974914</v>
      </c>
      <c r="H120" s="131"/>
    </row>
    <row r="121" spans="1:8" x14ac:dyDescent="0.25">
      <c r="A121" s="130" t="s">
        <v>16</v>
      </c>
      <c r="B121" s="127">
        <f t="shared" ref="B121:G121" si="49">AVERAGE(B109:B114)</f>
        <v>83268.166666666672</v>
      </c>
      <c r="C121" s="127">
        <f t="shared" si="49"/>
        <v>62236.5</v>
      </c>
      <c r="D121" s="127">
        <f t="shared" si="49"/>
        <v>40467</v>
      </c>
      <c r="E121" s="127">
        <f t="shared" si="49"/>
        <v>61990.555555555555</v>
      </c>
      <c r="F121" s="127">
        <f t="shared" si="49"/>
        <v>61990.555555555555</v>
      </c>
      <c r="G121" s="127">
        <f t="shared" si="49"/>
        <v>17815.298964104812</v>
      </c>
    </row>
  </sheetData>
  <mergeCells count="4">
    <mergeCell ref="A16:B16"/>
    <mergeCell ref="A35:F35"/>
    <mergeCell ref="A54:F54"/>
    <mergeCell ref="A119:B119"/>
  </mergeCells>
  <conditionalFormatting sqref="T3:X15">
    <cfRule type="cellIs" dxfId="33" priority="4" operator="greaterThan">
      <formula>1</formula>
    </cfRule>
  </conditionalFormatting>
  <conditionalFormatting sqref="K22:O34">
    <cfRule type="cellIs" dxfId="32" priority="3" operator="lessThan">
      <formula>0</formula>
    </cfRule>
  </conditionalFormatting>
  <conditionalFormatting sqref="K41:N53">
    <cfRule type="cellIs" dxfId="31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4"/>
  <sheetViews>
    <sheetView topLeftCell="N1" zoomScale="62" zoomScaleNormal="62" workbookViewId="0">
      <selection activeCell="S1" sqref="S1"/>
    </sheetView>
  </sheetViews>
  <sheetFormatPr baseColWidth="10" defaultColWidth="11.42578125" defaultRowHeight="15" x14ac:dyDescent="0.25"/>
  <cols>
    <col min="1" max="9" width="11.42578125" style="117"/>
    <col min="10" max="10" width="12.140625" style="117" customWidth="1"/>
    <col min="11" max="44" width="11.42578125" style="117"/>
    <col min="45" max="45" width="10.85546875" customWidth="1"/>
    <col min="46" max="16384" width="11.42578125" style="117"/>
  </cols>
  <sheetData>
    <row r="1" spans="1:44" ht="17.25" thickTop="1" thickBot="1" x14ac:dyDescent="0.3">
      <c r="A1" s="140" t="s">
        <v>76</v>
      </c>
      <c r="B1" s="142"/>
      <c r="J1" s="140" t="s">
        <v>203</v>
      </c>
      <c r="K1" s="142"/>
      <c r="S1" s="140" t="s">
        <v>262</v>
      </c>
      <c r="T1" s="142"/>
      <c r="AB1" s="140" t="s">
        <v>202</v>
      </c>
      <c r="AC1" s="142"/>
      <c r="AK1" s="140" t="s">
        <v>261</v>
      </c>
      <c r="AL1" s="142"/>
    </row>
    <row r="2" spans="1:44" ht="16.5" thickTop="1" x14ac:dyDescent="0.25">
      <c r="A2" s="124"/>
      <c r="B2" s="125">
        <v>2014</v>
      </c>
      <c r="C2" s="125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117" t="s">
        <v>74</v>
      </c>
      <c r="Q2" s="117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117" t="s">
        <v>74</v>
      </c>
      <c r="Z2" s="117" t="s">
        <v>75</v>
      </c>
      <c r="AB2" s="124"/>
      <c r="AC2" s="125">
        <v>2014</v>
      </c>
      <c r="AD2" s="125">
        <v>2015</v>
      </c>
      <c r="AE2" s="125">
        <v>2016</v>
      </c>
      <c r="AF2" s="125">
        <v>2017</v>
      </c>
      <c r="AG2" s="126" t="s">
        <v>1</v>
      </c>
      <c r="AH2" s="117" t="s">
        <v>74</v>
      </c>
      <c r="AI2" s="117" t="s">
        <v>75</v>
      </c>
      <c r="AK2" s="124"/>
      <c r="AL2" s="125">
        <v>2014</v>
      </c>
      <c r="AM2" s="125">
        <v>2015</v>
      </c>
      <c r="AN2" s="125">
        <v>2016</v>
      </c>
      <c r="AO2" s="125">
        <v>2017</v>
      </c>
      <c r="AP2" s="126" t="s">
        <v>1</v>
      </c>
      <c r="AQ2" s="117" t="s">
        <v>74</v>
      </c>
      <c r="AR2" s="117" t="s">
        <v>75</v>
      </c>
    </row>
    <row r="3" spans="1:44" x14ac:dyDescent="0.25">
      <c r="A3" s="119" t="s">
        <v>2</v>
      </c>
      <c r="B3" s="132">
        <f>'ILE ROUSSE 2014'!BC4+'ILE ROUSSE 2014'!BC21</f>
        <v>0</v>
      </c>
      <c r="C3" s="132">
        <f>'ILE ROUSSE 2015'!BC4+'ILE ROUSSE 2015'!BC21</f>
        <v>1304</v>
      </c>
      <c r="D3" s="132">
        <f>'ILE ROUSSE 2016'!BC4+'ILE ROUSSE 2016'!BC21</f>
        <v>0</v>
      </c>
      <c r="E3" s="132">
        <f>'ILE ROUSSE 2017'!BC4+'ILE ROUSSE 2017'!BC21</f>
        <v>340.40000000000003</v>
      </c>
      <c r="F3" s="127">
        <f t="shared" ref="F3:F13" si="0">AVERAGE(B3:E3)</f>
        <v>411.1</v>
      </c>
      <c r="G3" s="127">
        <f t="shared" ref="G3:G14" si="1">STDEVA(B3:E3)</f>
        <v>616.51583380585873</v>
      </c>
      <c r="H3" s="127">
        <f t="shared" ref="H3:H14" si="2">STDEVA(B3:E3)</f>
        <v>616.51583380585873</v>
      </c>
      <c r="J3" s="119" t="s">
        <v>2</v>
      </c>
      <c r="K3" s="41"/>
      <c r="L3" s="41"/>
      <c r="M3" s="41"/>
      <c r="N3" s="41"/>
      <c r="O3" s="122"/>
      <c r="P3" s="123">
        <f>MAX(K3:N3)</f>
        <v>0</v>
      </c>
      <c r="Q3" s="123">
        <f>MIN(K3:N3)</f>
        <v>0</v>
      </c>
      <c r="S3" s="119" t="s">
        <v>2</v>
      </c>
      <c r="T3" s="41"/>
      <c r="U3" s="41">
        <f t="shared" ref="T3:W14" si="3">C58/C3</f>
        <v>2.9662576687116564</v>
      </c>
      <c r="V3" s="41"/>
      <c r="W3" s="41">
        <f t="shared" si="3"/>
        <v>14.565217391304346</v>
      </c>
      <c r="X3" s="122">
        <f>AVERAGE(T3:W3)</f>
        <v>8.7657375300080016</v>
      </c>
      <c r="Y3" s="123">
        <f>MAX(T3:W3)</f>
        <v>14.565217391304346</v>
      </c>
      <c r="Z3" s="123">
        <f>MIN(T3:W3)</f>
        <v>2.9662576687116564</v>
      </c>
      <c r="AB3" s="119" t="s">
        <v>2</v>
      </c>
      <c r="AC3" s="41">
        <f>B127/B144</f>
        <v>0.14173228346456693</v>
      </c>
      <c r="AD3" s="41">
        <f>C127/C144</f>
        <v>0.22791293213828426</v>
      </c>
      <c r="AE3" s="41">
        <f>D127/D144</f>
        <v>4.2362002567394093E-2</v>
      </c>
      <c r="AF3" s="41">
        <f>E127/E144</f>
        <v>0.18315557190143436</v>
      </c>
      <c r="AG3" s="122">
        <f>AVERAGE(AC3:AF3)</f>
        <v>0.1487906975179199</v>
      </c>
      <c r="AH3" s="123">
        <f>MAX(AC3:AF3)</f>
        <v>0.22791293213828426</v>
      </c>
      <c r="AI3" s="123">
        <f>MIN(AC3:AF3)</f>
        <v>4.2362002567394093E-2</v>
      </c>
      <c r="AK3" s="119" t="s">
        <v>2</v>
      </c>
      <c r="AL3" s="41">
        <f>(B74+B91+B127)/(B3+B144)</f>
        <v>0.48425196850393698</v>
      </c>
      <c r="AM3" s="41">
        <f t="shared" ref="AM3:AO14" si="4">(C74+C91+C127)/(C3+C144)</f>
        <v>0.51165341376473816</v>
      </c>
      <c r="AN3" s="41">
        <f t="shared" si="4"/>
        <v>0.127599486521181</v>
      </c>
      <c r="AO3" s="41">
        <f t="shared" si="4"/>
        <v>0.55551709815865991</v>
      </c>
      <c r="AP3" s="146">
        <f>AVERAGE(AL3:AO3)</f>
        <v>0.41975549173712901</v>
      </c>
      <c r="AQ3" s="123">
        <f>MAX(AL3:AO3)</f>
        <v>0.55551709815865991</v>
      </c>
      <c r="AR3" s="123">
        <f>MIN(AL3:AO3)</f>
        <v>0.127599486521181</v>
      </c>
    </row>
    <row r="4" spans="1:44" x14ac:dyDescent="0.25">
      <c r="A4" s="119" t="s">
        <v>3</v>
      </c>
      <c r="B4" s="132">
        <f>'ILE ROUSSE 2014'!BC5+'ILE ROUSSE 2014'!BC22</f>
        <v>1304</v>
      </c>
      <c r="C4" s="132">
        <f>'ILE ROUSSE 2015'!BC5+'ILE ROUSSE 2015'!BC22</f>
        <v>5216</v>
      </c>
      <c r="D4" s="132">
        <f>'ILE ROUSSE 2016'!BC5+'ILE ROUSSE 2016'!BC22</f>
        <v>0</v>
      </c>
      <c r="E4" s="132">
        <f>'ILE ROUSSE 2017'!BC5+'ILE ROUSSE 2017'!BC22</f>
        <v>1020.8000000000002</v>
      </c>
      <c r="F4" s="127">
        <f t="shared" si="0"/>
        <v>1885.2</v>
      </c>
      <c r="G4" s="127">
        <f t="shared" si="1"/>
        <v>2290.0646628425147</v>
      </c>
      <c r="H4" s="127">
        <f t="shared" si="2"/>
        <v>2290.0646628425147</v>
      </c>
      <c r="J4" s="119" t="s">
        <v>3</v>
      </c>
      <c r="K4" s="41"/>
      <c r="L4" s="41"/>
      <c r="M4" s="41"/>
      <c r="N4" s="41"/>
      <c r="O4" s="122"/>
      <c r="P4" s="123">
        <f t="shared" ref="P4:P14" si="5">MAX(K4:N4)</f>
        <v>0</v>
      </c>
      <c r="Q4" s="123">
        <f t="shared" ref="Q4:Q14" si="6">MIN(K4:N4)</f>
        <v>0</v>
      </c>
      <c r="S4" s="119" t="s">
        <v>3</v>
      </c>
      <c r="T4" s="41">
        <f t="shared" si="3"/>
        <v>3.6119631901840492</v>
      </c>
      <c r="U4" s="41">
        <f t="shared" si="3"/>
        <v>1.0653757668711656</v>
      </c>
      <c r="V4" s="41"/>
      <c r="W4" s="41">
        <f t="shared" si="3"/>
        <v>5.7405956112852659</v>
      </c>
      <c r="X4" s="122">
        <f t="shared" ref="X4:X14" si="7">AVERAGE(T4:W4)</f>
        <v>3.4726448561134937</v>
      </c>
      <c r="Y4" s="123">
        <f t="shared" ref="Y4:Y14" si="8">MAX(T4:W4)</f>
        <v>5.7405956112852659</v>
      </c>
      <c r="Z4" s="123">
        <f t="shared" ref="Z4:Z14" si="9">MIN(T4:W4)</f>
        <v>1.0653757668711656</v>
      </c>
      <c r="AB4" s="119" t="s">
        <v>3</v>
      </c>
      <c r="AC4" s="41">
        <f t="shared" ref="AC4:AF14" si="10">B128/B145</f>
        <v>0.12506012506012507</v>
      </c>
      <c r="AD4" s="41">
        <f t="shared" si="10"/>
        <v>0.37204724409448819</v>
      </c>
      <c r="AE4" s="41">
        <f t="shared" si="10"/>
        <v>0.25333333333333335</v>
      </c>
      <c r="AF4" s="41">
        <f t="shared" si="10"/>
        <v>0.2623222748815166</v>
      </c>
      <c r="AG4" s="122">
        <f t="shared" ref="AG4:AG14" si="11">AVERAGE(AC4:AF4)</f>
        <v>0.25319074434236583</v>
      </c>
      <c r="AH4" s="123">
        <f t="shared" ref="AH4:AH14" si="12">MAX(AC4:AF4)</f>
        <v>0.37204724409448819</v>
      </c>
      <c r="AI4" s="123">
        <f t="shared" ref="AI4:AI14" si="13">MIN(AC4:AF4)</f>
        <v>0.12506012506012507</v>
      </c>
      <c r="AK4" s="119" t="s">
        <v>3</v>
      </c>
      <c r="AL4" s="41">
        <f t="shared" ref="AL4:AL14" si="14">(B75+B92+B128)/(B4+B145)</f>
        <v>0.32581885691552842</v>
      </c>
      <c r="AM4" s="41">
        <f t="shared" si="4"/>
        <v>0.37790416263310744</v>
      </c>
      <c r="AN4" s="41">
        <f t="shared" si="4"/>
        <v>0.71733333333333338</v>
      </c>
      <c r="AO4" s="41">
        <f t="shared" si="4"/>
        <v>0.70409097847656843</v>
      </c>
      <c r="AP4" s="146">
        <f t="shared" ref="AP4:AP14" si="15">AVERAGE(AL4:AO4)</f>
        <v>0.5312868328396344</v>
      </c>
      <c r="AQ4" s="123">
        <f t="shared" ref="AQ4:AQ14" si="16">MAX(AL4:AO4)</f>
        <v>0.71733333333333338</v>
      </c>
      <c r="AR4" s="123">
        <f t="shared" ref="AR4:AR14" si="17">MIN(AL4:AO4)</f>
        <v>0.32581885691552842</v>
      </c>
    </row>
    <row r="5" spans="1:44" x14ac:dyDescent="0.25">
      <c r="A5" s="119" t="s">
        <v>4</v>
      </c>
      <c r="B5" s="132">
        <f>'ILE ROUSSE 2014'!BC6+'ILE ROUSSE 2014'!BC23</f>
        <v>0</v>
      </c>
      <c r="C5" s="132">
        <f>'ILE ROUSSE 2015'!BC6+'ILE ROUSSE 2015'!BC23</f>
        <v>2608</v>
      </c>
      <c r="D5" s="132">
        <f>'ILE ROUSSE 2016'!BC6+'ILE ROUSSE 2016'!BC23</f>
        <v>0</v>
      </c>
      <c r="E5" s="132">
        <f>'ILE ROUSSE 2017'!BC6+'ILE ROUSSE 2017'!BC23</f>
        <v>0</v>
      </c>
      <c r="F5" s="127">
        <f t="shared" si="0"/>
        <v>652</v>
      </c>
      <c r="G5" s="127">
        <f t="shared" si="1"/>
        <v>1304</v>
      </c>
      <c r="H5" s="127">
        <f t="shared" si="2"/>
        <v>1304</v>
      </c>
      <c r="J5" s="119" t="s">
        <v>4</v>
      </c>
      <c r="K5" s="41"/>
      <c r="L5" s="41"/>
      <c r="M5" s="41"/>
      <c r="N5" s="41"/>
      <c r="O5" s="122"/>
      <c r="P5" s="123">
        <f t="shared" si="5"/>
        <v>0</v>
      </c>
      <c r="Q5" s="123">
        <f t="shared" si="6"/>
        <v>0</v>
      </c>
      <c r="S5" s="119" t="s">
        <v>4</v>
      </c>
      <c r="T5" s="41"/>
      <c r="U5" s="41">
        <f t="shared" si="3"/>
        <v>1.9271472392638036</v>
      </c>
      <c r="V5" s="41"/>
      <c r="W5" s="41"/>
      <c r="X5" s="122">
        <f t="shared" si="7"/>
        <v>1.9271472392638036</v>
      </c>
      <c r="Y5" s="123">
        <f t="shared" si="8"/>
        <v>1.9271472392638036</v>
      </c>
      <c r="Z5" s="123">
        <f t="shared" si="9"/>
        <v>1.9271472392638036</v>
      </c>
      <c r="AB5" s="119" t="s">
        <v>4</v>
      </c>
      <c r="AC5" s="41">
        <f t="shared" si="10"/>
        <v>0.48687664041994749</v>
      </c>
      <c r="AD5" s="41"/>
      <c r="AE5" s="41">
        <f t="shared" si="10"/>
        <v>0.13672922252010725</v>
      </c>
      <c r="AF5" s="41">
        <f t="shared" si="10"/>
        <v>0.67480035492457857</v>
      </c>
      <c r="AG5" s="122">
        <f t="shared" si="11"/>
        <v>0.43280207262154446</v>
      </c>
      <c r="AH5" s="123">
        <f t="shared" si="12"/>
        <v>0.67480035492457857</v>
      </c>
      <c r="AI5" s="123">
        <f t="shared" si="13"/>
        <v>0.13672922252010725</v>
      </c>
      <c r="AK5" s="119" t="s">
        <v>4</v>
      </c>
      <c r="AL5" s="41">
        <f t="shared" si="14"/>
        <v>1.4068241469816274</v>
      </c>
      <c r="AM5" s="41">
        <f t="shared" si="4"/>
        <v>0.68558282208588961</v>
      </c>
      <c r="AN5" s="41">
        <f t="shared" si="4"/>
        <v>0.4571045576407507</v>
      </c>
      <c r="AO5" s="41">
        <f t="shared" si="4"/>
        <v>1.4414374445430347</v>
      </c>
      <c r="AP5" s="146">
        <f t="shared" si="15"/>
        <v>0.9977372428128255</v>
      </c>
      <c r="AQ5" s="123">
        <f t="shared" si="16"/>
        <v>1.4414374445430347</v>
      </c>
      <c r="AR5" s="123">
        <f t="shared" si="17"/>
        <v>0.4571045576407507</v>
      </c>
    </row>
    <row r="6" spans="1:44" x14ac:dyDescent="0.25">
      <c r="A6" s="119" t="s">
        <v>5</v>
      </c>
      <c r="B6" s="132">
        <f>'ILE ROUSSE 2014'!BC7+'ILE ROUSSE 2014'!BC24</f>
        <v>3817.6000000000004</v>
      </c>
      <c r="C6" s="132">
        <f>'ILE ROUSSE 2015'!BC7+'ILE ROUSSE 2015'!BC24</f>
        <v>2874</v>
      </c>
      <c r="D6" s="132">
        <f>'ILE ROUSSE 2016'!BC7+'ILE ROUSSE 2016'!BC24</f>
        <v>6843.6</v>
      </c>
      <c r="E6" s="132">
        <f>'ILE ROUSSE 2017'!BC7+'ILE ROUSSE 2017'!BC24</f>
        <v>6098.4000000000005</v>
      </c>
      <c r="F6" s="127">
        <f t="shared" si="0"/>
        <v>4908.4000000000005</v>
      </c>
      <c r="G6" s="127">
        <f t="shared" si="1"/>
        <v>1869.9132814117349</v>
      </c>
      <c r="H6" s="127">
        <f t="shared" si="2"/>
        <v>1869.9132814117349</v>
      </c>
      <c r="J6" s="119" t="s">
        <v>5</v>
      </c>
      <c r="K6" s="41"/>
      <c r="L6" s="41"/>
      <c r="M6" s="41"/>
      <c r="N6" s="41"/>
      <c r="O6" s="122"/>
      <c r="P6" s="123">
        <f t="shared" si="5"/>
        <v>0</v>
      </c>
      <c r="Q6" s="123">
        <f t="shared" si="6"/>
        <v>0</v>
      </c>
      <c r="S6" s="119" t="s">
        <v>5</v>
      </c>
      <c r="T6" s="41">
        <f t="shared" si="3"/>
        <v>1.7665549036043586</v>
      </c>
      <c r="U6" s="41">
        <f t="shared" si="3"/>
        <v>2.3980514961725818</v>
      </c>
      <c r="V6" s="41">
        <f t="shared" si="3"/>
        <v>1.3668244783447308</v>
      </c>
      <c r="W6" s="41">
        <f t="shared" si="3"/>
        <v>1.2811557129738946</v>
      </c>
      <c r="X6" s="122">
        <f t="shared" si="7"/>
        <v>1.7031466477738917</v>
      </c>
      <c r="Y6" s="123">
        <f t="shared" si="8"/>
        <v>2.3980514961725818</v>
      </c>
      <c r="Z6" s="123">
        <f t="shared" si="9"/>
        <v>1.2811557129738946</v>
      </c>
      <c r="AB6" s="119" t="s">
        <v>5</v>
      </c>
      <c r="AC6" s="41">
        <f t="shared" si="10"/>
        <v>0.49914059814369199</v>
      </c>
      <c r="AD6" s="41">
        <f t="shared" si="10"/>
        <v>0.25196850393700787</v>
      </c>
      <c r="AE6" s="41">
        <f>D130/D147</f>
        <v>1.7679324894514767</v>
      </c>
      <c r="AF6" s="41">
        <f t="shared" si="10"/>
        <v>0</v>
      </c>
      <c r="AG6" s="122">
        <f t="shared" si="11"/>
        <v>0.62976039788304417</v>
      </c>
      <c r="AH6" s="123">
        <f t="shared" si="12"/>
        <v>1.7679324894514767</v>
      </c>
      <c r="AI6" s="123">
        <f t="shared" si="13"/>
        <v>0</v>
      </c>
      <c r="AK6" s="119" t="s">
        <v>5</v>
      </c>
      <c r="AL6" s="41">
        <f t="shared" si="14"/>
        <v>1.0543979082633164</v>
      </c>
      <c r="AM6" s="41">
        <f t="shared" si="4"/>
        <v>1.2445175438596492</v>
      </c>
      <c r="AN6" s="41">
        <f t="shared" si="4"/>
        <v>2.1885888501742161</v>
      </c>
      <c r="AO6" s="41">
        <f t="shared" si="4"/>
        <v>1.5605627298079825</v>
      </c>
      <c r="AP6" s="146">
        <f t="shared" si="15"/>
        <v>1.5120167580262911</v>
      </c>
      <c r="AQ6" s="123">
        <f t="shared" si="16"/>
        <v>2.1885888501742161</v>
      </c>
      <c r="AR6" s="123">
        <f t="shared" si="17"/>
        <v>1.0543979082633164</v>
      </c>
    </row>
    <row r="7" spans="1:44" x14ac:dyDescent="0.25">
      <c r="A7" s="119" t="s">
        <v>6</v>
      </c>
      <c r="B7" s="132">
        <f>'ILE ROUSSE 2014'!BC8+'ILE ROUSSE 2014'!BC25</f>
        <v>5069.76</v>
      </c>
      <c r="C7" s="132">
        <f>'ILE ROUSSE 2015'!BC8+'ILE ROUSSE 2015'!BC25</f>
        <v>3744.96</v>
      </c>
      <c r="D7" s="132">
        <f>'ILE ROUSSE 2016'!BC8+'ILE ROUSSE 2016'!BC25</f>
        <v>2513.7600000000002</v>
      </c>
      <c r="E7" s="132">
        <f>'ILE ROUSSE 2017'!BC8+'ILE ROUSSE 2017'!BC25</f>
        <v>6552.72</v>
      </c>
      <c r="F7" s="127">
        <f t="shared" si="0"/>
        <v>4470.3</v>
      </c>
      <c r="G7" s="127">
        <f t="shared" si="1"/>
        <v>1736.8546509135417</v>
      </c>
      <c r="H7" s="127">
        <f t="shared" si="2"/>
        <v>1736.8546509135417</v>
      </c>
      <c r="J7" s="119" t="s">
        <v>6</v>
      </c>
      <c r="K7" s="41"/>
      <c r="L7" s="41"/>
      <c r="M7" s="41"/>
      <c r="N7" s="41"/>
      <c r="O7" s="122"/>
      <c r="P7" s="123">
        <f t="shared" si="5"/>
        <v>0</v>
      </c>
      <c r="Q7" s="123">
        <f t="shared" si="6"/>
        <v>0</v>
      </c>
      <c r="S7" s="119" t="s">
        <v>6</v>
      </c>
      <c r="T7" s="41">
        <f t="shared" si="3"/>
        <v>1.4497727703086536</v>
      </c>
      <c r="U7" s="41">
        <f t="shared" si="3"/>
        <v>1.7869349739383065</v>
      </c>
      <c r="V7" s="41">
        <f t="shared" si="3"/>
        <v>3.4187830182674555</v>
      </c>
      <c r="W7" s="41">
        <f t="shared" si="3"/>
        <v>1.3125846976522726</v>
      </c>
      <c r="X7" s="122">
        <f t="shared" si="7"/>
        <v>1.9920188650416719</v>
      </c>
      <c r="Y7" s="123">
        <f t="shared" si="8"/>
        <v>3.4187830182674555</v>
      </c>
      <c r="Z7" s="123">
        <f t="shared" si="9"/>
        <v>1.3125846976522726</v>
      </c>
      <c r="AB7" s="119" t="s">
        <v>6</v>
      </c>
      <c r="AC7" s="41">
        <f t="shared" si="10"/>
        <v>0.60539877300613498</v>
      </c>
      <c r="AD7" s="41">
        <f t="shared" si="10"/>
        <v>0.65740097289784571</v>
      </c>
      <c r="AE7" s="41"/>
      <c r="AF7" s="41">
        <f>E131/E148</f>
        <v>7.6169749727965183E-2</v>
      </c>
      <c r="AG7" s="122">
        <f t="shared" si="11"/>
        <v>0.44632316521064858</v>
      </c>
      <c r="AH7" s="123">
        <f t="shared" si="12"/>
        <v>0.65740097289784571</v>
      </c>
      <c r="AI7" s="123">
        <f t="shared" si="13"/>
        <v>7.6169749727965183E-2</v>
      </c>
      <c r="AK7" s="119" t="s">
        <v>6</v>
      </c>
      <c r="AL7" s="41">
        <f t="shared" si="14"/>
        <v>1.6648973446292401</v>
      </c>
      <c r="AM7" s="41">
        <f t="shared" si="4"/>
        <v>2.246476043046604</v>
      </c>
      <c r="AN7" s="41">
        <f t="shared" si="4"/>
        <v>6.1772006874164589</v>
      </c>
      <c r="AO7" s="41">
        <f t="shared" si="4"/>
        <v>1.9235550340108991</v>
      </c>
      <c r="AP7" s="146">
        <f t="shared" si="15"/>
        <v>3.0030322772758007</v>
      </c>
      <c r="AQ7" s="123">
        <f t="shared" si="16"/>
        <v>6.1772006874164589</v>
      </c>
      <c r="AR7" s="123">
        <f t="shared" si="17"/>
        <v>1.6648973446292401</v>
      </c>
    </row>
    <row r="8" spans="1:44" x14ac:dyDescent="0.25">
      <c r="A8" s="119" t="s">
        <v>7</v>
      </c>
      <c r="B8" s="132">
        <f>'ILE ROUSSE 2014'!BC9+'ILE ROUSSE 2014'!BC26</f>
        <v>5094</v>
      </c>
      <c r="C8" s="132">
        <f>'ILE ROUSSE 2015'!BC9+'ILE ROUSSE 2015'!BC26</f>
        <v>6614.4</v>
      </c>
      <c r="D8" s="132">
        <f>'ILE ROUSSE 2016'!BC9+'ILE ROUSSE 2016'!BC26</f>
        <v>7666.08</v>
      </c>
      <c r="E8" s="132">
        <f>'ILE ROUSSE 2017'!BC9+'ILE ROUSSE 2017'!BC26</f>
        <v>6399.12</v>
      </c>
      <c r="F8" s="127">
        <f t="shared" si="0"/>
        <v>6443.4</v>
      </c>
      <c r="G8" s="127">
        <f t="shared" si="1"/>
        <v>1056.2557235821243</v>
      </c>
      <c r="H8" s="127">
        <f t="shared" si="2"/>
        <v>1056.2557235821243</v>
      </c>
      <c r="J8" s="119" t="s">
        <v>7</v>
      </c>
      <c r="K8" s="41"/>
      <c r="L8" s="41"/>
      <c r="M8" s="41"/>
      <c r="N8" s="41"/>
      <c r="O8" s="122"/>
      <c r="P8" s="123">
        <f t="shared" si="5"/>
        <v>0</v>
      </c>
      <c r="Q8" s="123">
        <f t="shared" si="6"/>
        <v>0</v>
      </c>
      <c r="S8" s="119" t="s">
        <v>7</v>
      </c>
      <c r="T8" s="41">
        <f t="shared" si="3"/>
        <v>1.3814291323125245</v>
      </c>
      <c r="U8" s="41">
        <f t="shared" si="3"/>
        <v>1.3385945815191098</v>
      </c>
      <c r="V8" s="41">
        <f t="shared" si="3"/>
        <v>1.5496838018909274</v>
      </c>
      <c r="W8" s="41">
        <f t="shared" si="3"/>
        <v>1.5603708009851356</v>
      </c>
      <c r="X8" s="122">
        <f t="shared" si="7"/>
        <v>1.4575195791769244</v>
      </c>
      <c r="Y8" s="123">
        <f t="shared" si="8"/>
        <v>1.5603708009851356</v>
      </c>
      <c r="Z8" s="123">
        <f t="shared" si="9"/>
        <v>1.3385945815191098</v>
      </c>
      <c r="AB8" s="119" t="s">
        <v>7</v>
      </c>
      <c r="AC8" s="41">
        <f>B132/B149</f>
        <v>0.40884353741496599</v>
      </c>
      <c r="AD8" s="41">
        <f t="shared" si="10"/>
        <v>0.37290758193838797</v>
      </c>
      <c r="AE8" s="41">
        <f t="shared" si="10"/>
        <v>0.4838709677419355</v>
      </c>
      <c r="AF8" s="41">
        <f t="shared" si="10"/>
        <v>0.51707295608554082</v>
      </c>
      <c r="AG8" s="122">
        <f t="shared" si="11"/>
        <v>0.4456737607952076</v>
      </c>
      <c r="AH8" s="123">
        <f t="shared" si="12"/>
        <v>0.51707295608554082</v>
      </c>
      <c r="AI8" s="123">
        <f t="shared" si="13"/>
        <v>0.37290758193838797</v>
      </c>
      <c r="AK8" s="119" t="s">
        <v>7</v>
      </c>
      <c r="AL8" s="41">
        <f t="shared" si="14"/>
        <v>0.89208199356913187</v>
      </c>
      <c r="AM8" s="41">
        <f t="shared" si="4"/>
        <v>1.1214541862612466</v>
      </c>
      <c r="AN8" s="41">
        <f t="shared" si="4"/>
        <v>2.2899991097370487</v>
      </c>
      <c r="AO8" s="41">
        <f t="shared" si="4"/>
        <v>1.4050757559110487</v>
      </c>
      <c r="AP8" s="146">
        <f t="shared" si="15"/>
        <v>1.4271527613696189</v>
      </c>
      <c r="AQ8" s="123">
        <f t="shared" si="16"/>
        <v>2.2899991097370487</v>
      </c>
      <c r="AR8" s="123">
        <f t="shared" si="17"/>
        <v>0.89208199356913187</v>
      </c>
    </row>
    <row r="9" spans="1:44" x14ac:dyDescent="0.25">
      <c r="A9" s="119" t="s">
        <v>8</v>
      </c>
      <c r="B9" s="132">
        <f>'ILE ROUSSE 2014'!BC10+'ILE ROUSSE 2014'!BC27</f>
        <v>13283.52</v>
      </c>
      <c r="C9" s="132">
        <f>'ILE ROUSSE 2015'!BC10+'ILE ROUSSE 2015'!BC27</f>
        <v>12774.96</v>
      </c>
      <c r="D9" s="132">
        <f>'ILE ROUSSE 2016'!BC10+'ILE ROUSSE 2016'!BC27</f>
        <v>12359.519999999999</v>
      </c>
      <c r="E9" s="132">
        <f>'ILE ROUSSE 2017'!BC10+'ILE ROUSSE 2017'!BC27</f>
        <v>11340.96</v>
      </c>
      <c r="F9" s="127">
        <f t="shared" si="0"/>
        <v>12439.74</v>
      </c>
      <c r="G9" s="127">
        <f t="shared" si="1"/>
        <v>824.23497329341762</v>
      </c>
      <c r="H9" s="127">
        <f t="shared" si="2"/>
        <v>824.23497329341762</v>
      </c>
      <c r="I9" s="45"/>
      <c r="J9" s="119" t="s">
        <v>8</v>
      </c>
      <c r="K9" s="41"/>
      <c r="L9" s="41"/>
      <c r="M9" s="41"/>
      <c r="N9" s="41"/>
      <c r="O9" s="122"/>
      <c r="P9" s="123">
        <f t="shared" si="5"/>
        <v>0</v>
      </c>
      <c r="Q9" s="123">
        <f t="shared" si="6"/>
        <v>0</v>
      </c>
      <c r="S9" s="119" t="s">
        <v>8</v>
      </c>
      <c r="T9" s="41">
        <f t="shared" si="3"/>
        <v>0.67971441304714408</v>
      </c>
      <c r="U9" s="41">
        <f t="shared" si="3"/>
        <v>0.95507148358977256</v>
      </c>
      <c r="V9" s="41">
        <f t="shared" si="3"/>
        <v>0.94938962030887941</v>
      </c>
      <c r="W9" s="41">
        <f t="shared" si="3"/>
        <v>1.1275941366515709</v>
      </c>
      <c r="X9" s="122">
        <f t="shared" si="7"/>
        <v>0.92794241339934169</v>
      </c>
      <c r="Y9" s="123">
        <f t="shared" si="8"/>
        <v>1.1275941366515709</v>
      </c>
      <c r="Z9" s="123">
        <f t="shared" si="9"/>
        <v>0.67971441304714408</v>
      </c>
      <c r="AB9" s="119" t="s">
        <v>8</v>
      </c>
      <c r="AC9" s="41">
        <f>B133/B150</f>
        <v>0.48097220877311903</v>
      </c>
      <c r="AD9" s="41">
        <f t="shared" si="10"/>
        <v>0.59145850120870269</v>
      </c>
      <c r="AE9" s="41">
        <f t="shared" si="10"/>
        <v>0.68494523587944733</v>
      </c>
      <c r="AF9" s="41">
        <f t="shared" si="10"/>
        <v>0.32136721546170366</v>
      </c>
      <c r="AG9" s="122">
        <f t="shared" si="11"/>
        <v>0.51968579033074314</v>
      </c>
      <c r="AH9" s="123">
        <f t="shared" si="12"/>
        <v>0.68494523587944733</v>
      </c>
      <c r="AI9" s="123">
        <f t="shared" si="13"/>
        <v>0.32136721546170366</v>
      </c>
      <c r="AK9" s="119" t="s">
        <v>8</v>
      </c>
      <c r="AL9" s="41">
        <f t="shared" si="14"/>
        <v>0.8239052786611113</v>
      </c>
      <c r="AM9" s="41">
        <f t="shared" si="4"/>
        <v>1.0952303139020017</v>
      </c>
      <c r="AN9" s="41">
        <f t="shared" si="4"/>
        <v>1.6049122000084031</v>
      </c>
      <c r="AO9" s="41">
        <f t="shared" si="4"/>
        <v>0.90657975707685179</v>
      </c>
      <c r="AP9" s="146">
        <f t="shared" si="15"/>
        <v>1.107656887412092</v>
      </c>
      <c r="AQ9" s="123">
        <f t="shared" si="16"/>
        <v>1.6049122000084031</v>
      </c>
      <c r="AR9" s="123">
        <f t="shared" si="17"/>
        <v>0.8239052786611113</v>
      </c>
    </row>
    <row r="10" spans="1:44" x14ac:dyDescent="0.25">
      <c r="A10" s="119" t="s">
        <v>9</v>
      </c>
      <c r="B10" s="132">
        <f>'ILE ROUSSE 2014'!BC11+'ILE ROUSSE 2014'!BC28</f>
        <v>13185.599999999999</v>
      </c>
      <c r="C10" s="132">
        <f>'ILE ROUSSE 2015'!BC11+'ILE ROUSSE 2015'!BC28</f>
        <v>16327.68</v>
      </c>
      <c r="D10" s="132">
        <f>'ILE ROUSSE 2016'!BC11+'ILE ROUSSE 2016'!BC28</f>
        <v>13189.68</v>
      </c>
      <c r="E10" s="132">
        <f>'ILE ROUSSE 2017'!BC11+'ILE ROUSSE 2017'!BC28</f>
        <v>12214.559999999998</v>
      </c>
      <c r="F10" s="127">
        <f t="shared" si="0"/>
        <v>13729.38</v>
      </c>
      <c r="G10" s="127">
        <f t="shared" si="1"/>
        <v>1791.9091588582241</v>
      </c>
      <c r="H10" s="127">
        <f t="shared" si="2"/>
        <v>1791.9091588582241</v>
      </c>
      <c r="J10" s="119" t="s">
        <v>9</v>
      </c>
      <c r="K10" s="41"/>
      <c r="L10" s="41"/>
      <c r="M10" s="41"/>
      <c r="N10" s="41"/>
      <c r="O10" s="122"/>
      <c r="P10" s="123">
        <f t="shared" si="5"/>
        <v>0</v>
      </c>
      <c r="Q10" s="123">
        <f t="shared" si="6"/>
        <v>0</v>
      </c>
      <c r="S10" s="119" t="s">
        <v>9</v>
      </c>
      <c r="T10" s="41">
        <f t="shared" si="3"/>
        <v>0.64843465598835104</v>
      </c>
      <c r="U10" s="41">
        <f t="shared" si="3"/>
        <v>0.63952747726560044</v>
      </c>
      <c r="V10" s="41">
        <f t="shared" si="3"/>
        <v>0.79903379005404218</v>
      </c>
      <c r="W10" s="41">
        <f t="shared" si="3"/>
        <v>1.058818328290172</v>
      </c>
      <c r="X10" s="122">
        <f t="shared" si="7"/>
        <v>0.78645356289954138</v>
      </c>
      <c r="Y10" s="123">
        <f t="shared" si="8"/>
        <v>1.058818328290172</v>
      </c>
      <c r="Z10" s="123">
        <f t="shared" si="9"/>
        <v>0.63952747726560044</v>
      </c>
      <c r="AB10" s="119" t="s">
        <v>9</v>
      </c>
      <c r="AC10" s="41">
        <f t="shared" si="10"/>
        <v>0.70414023013227234</v>
      </c>
      <c r="AD10" s="41">
        <f t="shared" si="10"/>
        <v>0.71916859122401844</v>
      </c>
      <c r="AE10" s="41">
        <f t="shared" si="10"/>
        <v>0.69397934776267434</v>
      </c>
      <c r="AF10" s="41">
        <f t="shared" si="10"/>
        <v>0.50177712227084792</v>
      </c>
      <c r="AG10" s="122">
        <f t="shared" si="11"/>
        <v>0.65476632284745329</v>
      </c>
      <c r="AH10" s="123">
        <f t="shared" si="12"/>
        <v>0.71916859122401844</v>
      </c>
      <c r="AI10" s="123">
        <f t="shared" si="13"/>
        <v>0.50177712227084792</v>
      </c>
      <c r="AK10" s="119" t="s">
        <v>9</v>
      </c>
      <c r="AL10" s="41">
        <f t="shared" si="14"/>
        <v>1.1565881053719576</v>
      </c>
      <c r="AM10" s="41">
        <f t="shared" si="4"/>
        <v>1.2535246404784648</v>
      </c>
      <c r="AN10" s="41">
        <f t="shared" si="4"/>
        <v>1.2540280713656351</v>
      </c>
      <c r="AO10" s="41">
        <f t="shared" si="4"/>
        <v>0.95341193541258173</v>
      </c>
      <c r="AP10" s="146">
        <f t="shared" si="15"/>
        <v>1.1543881881571598</v>
      </c>
      <c r="AQ10" s="123">
        <f t="shared" si="16"/>
        <v>1.2540280713656351</v>
      </c>
      <c r="AR10" s="123">
        <f t="shared" si="17"/>
        <v>0.95341193541258173</v>
      </c>
    </row>
    <row r="11" spans="1:44" x14ac:dyDescent="0.25">
      <c r="A11" s="119" t="s">
        <v>10</v>
      </c>
      <c r="B11" s="132">
        <f>'ILE ROUSSE 2014'!BC12+'ILE ROUSSE 2014'!BC29</f>
        <v>3462.24</v>
      </c>
      <c r="C11" s="132">
        <f>'ILE ROUSSE 2015'!BC12+'ILE ROUSSE 2015'!BC29</f>
        <v>3396</v>
      </c>
      <c r="D11" s="132">
        <f>'ILE ROUSSE 2016'!BC12+'ILE ROUSSE 2016'!BC29</f>
        <v>6376.7999999999993</v>
      </c>
      <c r="E11" s="132">
        <f>'ILE ROUSSE 2017'!BC12+'ILE ROUSSE 2017'!BC29</f>
        <v>5796.24</v>
      </c>
      <c r="F11" s="127">
        <f t="shared" si="0"/>
        <v>4757.82</v>
      </c>
      <c r="G11" s="127">
        <f t="shared" si="1"/>
        <v>1552.6851564950302</v>
      </c>
      <c r="H11" s="127">
        <f t="shared" si="2"/>
        <v>1552.6851564950302</v>
      </c>
      <c r="J11" s="119" t="s">
        <v>10</v>
      </c>
      <c r="K11" s="41"/>
      <c r="L11" s="41"/>
      <c r="M11" s="41"/>
      <c r="N11" s="41"/>
      <c r="O11" s="122"/>
      <c r="P11" s="123">
        <f t="shared" si="5"/>
        <v>0</v>
      </c>
      <c r="Q11" s="123">
        <f t="shared" si="6"/>
        <v>0</v>
      </c>
      <c r="S11" s="119" t="s">
        <v>10</v>
      </c>
      <c r="T11" s="41">
        <f t="shared" si="3"/>
        <v>2.0813115208651047</v>
      </c>
      <c r="U11" s="41">
        <f t="shared" si="3"/>
        <v>2.4122497055359244</v>
      </c>
      <c r="V11" s="41">
        <f t="shared" si="3"/>
        <v>1.3640070254673191</v>
      </c>
      <c r="W11" s="41">
        <f t="shared" si="3"/>
        <v>1.6517604516031084</v>
      </c>
      <c r="X11" s="122">
        <f t="shared" si="7"/>
        <v>1.8773321758678641</v>
      </c>
      <c r="Y11" s="123">
        <f t="shared" si="8"/>
        <v>2.4122497055359244</v>
      </c>
      <c r="Z11" s="123">
        <f t="shared" si="9"/>
        <v>1.3640070254673191</v>
      </c>
      <c r="AB11" s="119" t="s">
        <v>10</v>
      </c>
      <c r="AC11" s="41">
        <f t="shared" si="10"/>
        <v>0.64161781251850536</v>
      </c>
      <c r="AD11" s="41">
        <f t="shared" si="10"/>
        <v>0.56244696443724451</v>
      </c>
      <c r="AE11" s="41">
        <f t="shared" si="10"/>
        <v>0.53217228073834599</v>
      </c>
      <c r="AF11" s="41">
        <f t="shared" si="10"/>
        <v>0.4825680164304369</v>
      </c>
      <c r="AG11" s="122">
        <f t="shared" si="11"/>
        <v>0.55470126853113322</v>
      </c>
      <c r="AH11" s="123">
        <f t="shared" si="12"/>
        <v>0.64161781251850536</v>
      </c>
      <c r="AI11" s="123">
        <f t="shared" si="13"/>
        <v>0.4825680164304369</v>
      </c>
      <c r="AK11" s="119" t="s">
        <v>10</v>
      </c>
      <c r="AL11" s="41">
        <f t="shared" si="14"/>
        <v>1.0462788258796036</v>
      </c>
      <c r="AM11" s="41">
        <f t="shared" si="4"/>
        <v>1.1193330968428521</v>
      </c>
      <c r="AN11" s="41">
        <f t="shared" si="4"/>
        <v>1.5240810612398203</v>
      </c>
      <c r="AO11" s="41">
        <f t="shared" si="4"/>
        <v>1.2364696197035763</v>
      </c>
      <c r="AP11" s="146">
        <f t="shared" si="15"/>
        <v>1.231540650916463</v>
      </c>
      <c r="AQ11" s="123">
        <f t="shared" si="16"/>
        <v>1.5240810612398203</v>
      </c>
      <c r="AR11" s="123">
        <f t="shared" si="17"/>
        <v>1.0462788258796036</v>
      </c>
    </row>
    <row r="12" spans="1:44" x14ac:dyDescent="0.25">
      <c r="A12" s="119" t="s">
        <v>11</v>
      </c>
      <c r="B12" s="132">
        <f>'ILE ROUSSE 2014'!BC13+'ILE ROUSSE 2014'!BC30</f>
        <v>3288.8</v>
      </c>
      <c r="C12" s="132">
        <f>'ILE ROUSSE 2015'!BC13+'ILE ROUSSE 2015'!BC30</f>
        <v>680.80000000000007</v>
      </c>
      <c r="D12" s="132">
        <f>'ILE ROUSSE 2016'!BC13+'ILE ROUSSE 2016'!BC30</f>
        <v>2621.6</v>
      </c>
      <c r="E12" s="132">
        <f>'ILE ROUSSE 2017'!BC13+'ILE ROUSSE 2017'!BC30</f>
        <v>4262.4000000000005</v>
      </c>
      <c r="F12" s="127">
        <f t="shared" si="0"/>
        <v>2713.4000000000005</v>
      </c>
      <c r="G12" s="127">
        <f t="shared" si="1"/>
        <v>1513.3160233958617</v>
      </c>
      <c r="H12" s="127">
        <f t="shared" si="2"/>
        <v>1513.3160233958617</v>
      </c>
      <c r="J12" s="119" t="s">
        <v>11</v>
      </c>
      <c r="K12" s="41"/>
      <c r="L12" s="41"/>
      <c r="M12" s="41"/>
      <c r="N12" s="41"/>
      <c r="O12" s="122"/>
      <c r="P12" s="123">
        <f t="shared" si="5"/>
        <v>0</v>
      </c>
      <c r="Q12" s="123">
        <f t="shared" si="6"/>
        <v>0</v>
      </c>
      <c r="S12" s="119" t="s">
        <v>11</v>
      </c>
      <c r="T12" s="41">
        <f t="shared" si="3"/>
        <v>2.0840428119678909</v>
      </c>
      <c r="U12" s="41">
        <f t="shared" si="3"/>
        <v>10.636016451233841</v>
      </c>
      <c r="V12" s="41">
        <f t="shared" si="3"/>
        <v>3.0225816295392129</v>
      </c>
      <c r="W12" s="41">
        <f t="shared" si="3"/>
        <v>2.0213963963963963</v>
      </c>
      <c r="X12" s="122">
        <f t="shared" si="7"/>
        <v>4.4410093222843354</v>
      </c>
      <c r="Y12" s="123">
        <f t="shared" si="8"/>
        <v>10.636016451233841</v>
      </c>
      <c r="Z12" s="123">
        <f t="shared" si="9"/>
        <v>2.0213963963963963</v>
      </c>
      <c r="AB12" s="119" t="s">
        <v>11</v>
      </c>
      <c r="AC12" s="41">
        <f t="shared" si="10"/>
        <v>0.60433070866141736</v>
      </c>
      <c r="AD12" s="41"/>
      <c r="AE12" s="41"/>
      <c r="AF12" s="41"/>
      <c r="AG12" s="122">
        <f t="shared" si="11"/>
        <v>0.60433070866141736</v>
      </c>
      <c r="AH12" s="123">
        <f t="shared" si="12"/>
        <v>0.60433070866141736</v>
      </c>
      <c r="AI12" s="123">
        <f t="shared" si="13"/>
        <v>0.60433070866141736</v>
      </c>
      <c r="AK12" s="119" t="s">
        <v>11</v>
      </c>
      <c r="AL12" s="41">
        <f t="shared" si="14"/>
        <v>1.4136472667592475</v>
      </c>
      <c r="AM12" s="41">
        <f t="shared" si="4"/>
        <v>10.443595769682725</v>
      </c>
      <c r="AN12" s="41">
        <f t="shared" si="4"/>
        <v>4.5876563930424172</v>
      </c>
      <c r="AO12" s="41">
        <f t="shared" si="4"/>
        <v>3.1496340090090085</v>
      </c>
      <c r="AP12" s="146">
        <f t="shared" si="15"/>
        <v>4.8986333596233491</v>
      </c>
      <c r="AQ12" s="123">
        <f t="shared" si="16"/>
        <v>10.443595769682725</v>
      </c>
      <c r="AR12" s="123">
        <f t="shared" si="17"/>
        <v>1.4136472667592475</v>
      </c>
    </row>
    <row r="13" spans="1:44" x14ac:dyDescent="0.25">
      <c r="A13" s="119" t="s">
        <v>12</v>
      </c>
      <c r="B13" s="132">
        <f>'ILE ROUSSE 2014'!BC14+'ILE ROUSSE 2014'!BC31</f>
        <v>5896.8</v>
      </c>
      <c r="C13" s="132">
        <f>'ILE ROUSSE 2015'!BC14+'ILE ROUSSE 2015'!BC31</f>
        <v>0</v>
      </c>
      <c r="D13" s="132">
        <f>'ILE ROUSSE 2016'!BC14+'ILE ROUSSE 2016'!BC31</f>
        <v>0</v>
      </c>
      <c r="E13" s="132"/>
      <c r="F13" s="127">
        <f t="shared" si="0"/>
        <v>1965.6000000000001</v>
      </c>
      <c r="G13" s="127">
        <f t="shared" si="1"/>
        <v>3404.5190673573857</v>
      </c>
      <c r="H13" s="127">
        <f t="shared" si="2"/>
        <v>3404.5190673573857</v>
      </c>
      <c r="J13" s="119" t="s">
        <v>12</v>
      </c>
      <c r="K13" s="41"/>
      <c r="L13" s="41"/>
      <c r="M13" s="41"/>
      <c r="N13" s="41"/>
      <c r="O13" s="122"/>
      <c r="P13" s="123">
        <f t="shared" si="5"/>
        <v>0</v>
      </c>
      <c r="Q13" s="123">
        <f t="shared" si="6"/>
        <v>0</v>
      </c>
      <c r="S13" s="119" t="s">
        <v>12</v>
      </c>
      <c r="T13" s="41">
        <f t="shared" si="3"/>
        <v>0.67188983855650519</v>
      </c>
      <c r="U13" s="41"/>
      <c r="V13" s="41"/>
      <c r="W13" s="41"/>
      <c r="X13" s="122">
        <f t="shared" si="7"/>
        <v>0.67188983855650519</v>
      </c>
      <c r="Y13" s="123">
        <f t="shared" si="8"/>
        <v>0.67188983855650519</v>
      </c>
      <c r="Z13" s="123">
        <f t="shared" si="9"/>
        <v>0.67188983855650519</v>
      </c>
      <c r="AB13" s="119" t="s">
        <v>12</v>
      </c>
      <c r="AC13" s="41">
        <f t="shared" si="10"/>
        <v>0.13233923578751164</v>
      </c>
      <c r="AD13" s="41">
        <f t="shared" si="10"/>
        <v>0.36148346738159071</v>
      </c>
      <c r="AE13" s="41">
        <f t="shared" si="10"/>
        <v>8.0837696335078535E-2</v>
      </c>
      <c r="AF13" s="41"/>
      <c r="AG13" s="122">
        <f t="shared" si="11"/>
        <v>0.19155346650139363</v>
      </c>
      <c r="AH13" s="123">
        <f t="shared" si="12"/>
        <v>0.36148346738159071</v>
      </c>
      <c r="AI13" s="123">
        <f t="shared" si="13"/>
        <v>8.0837696335078535E-2</v>
      </c>
      <c r="AK13" s="119" t="s">
        <v>12</v>
      </c>
      <c r="AL13" s="41">
        <f t="shared" si="14"/>
        <v>0.37286908444678474</v>
      </c>
      <c r="AM13" s="41">
        <f t="shared" si="4"/>
        <v>0.57774798927613946</v>
      </c>
      <c r="AN13" s="41">
        <f t="shared" si="4"/>
        <v>0.24837696335078535</v>
      </c>
      <c r="AO13" s="41"/>
      <c r="AP13" s="146">
        <f t="shared" si="15"/>
        <v>0.39966467902456987</v>
      </c>
      <c r="AQ13" s="123">
        <f t="shared" si="16"/>
        <v>0.57774798927613946</v>
      </c>
      <c r="AR13" s="123">
        <f t="shared" si="17"/>
        <v>0.24837696335078535</v>
      </c>
    </row>
    <row r="14" spans="1:44" ht="15.75" thickBot="1" x14ac:dyDescent="0.3">
      <c r="A14" s="119" t="s">
        <v>13</v>
      </c>
      <c r="B14" s="132">
        <f>'ILE ROUSSE 2014'!BC15+'ILE ROUSSE 2014'!BC32</f>
        <v>5216</v>
      </c>
      <c r="C14" s="132">
        <f>'ILE ROUSSE 2015'!BC15+'ILE ROUSSE 2015'!BC32</f>
        <v>0</v>
      </c>
      <c r="D14" s="132">
        <f>'ILE ROUSSE 2016'!BC15+'ILE ROUSSE 2016'!BC32</f>
        <v>1140.8</v>
      </c>
      <c r="E14" s="132"/>
      <c r="F14" s="127">
        <f>AVERAGE(B14:E14)</f>
        <v>2118.9333333333334</v>
      </c>
      <c r="G14" s="127">
        <f t="shared" si="1"/>
        <v>2742.1200946226504</v>
      </c>
      <c r="H14" s="127">
        <f t="shared" si="2"/>
        <v>2742.1200946226504</v>
      </c>
      <c r="J14" s="139" t="s">
        <v>13</v>
      </c>
      <c r="K14" s="66"/>
      <c r="L14" s="66"/>
      <c r="M14" s="66"/>
      <c r="N14" s="66"/>
      <c r="O14" s="122"/>
      <c r="P14" s="123">
        <f t="shared" si="5"/>
        <v>0</v>
      </c>
      <c r="Q14" s="123">
        <f t="shared" si="6"/>
        <v>0</v>
      </c>
      <c r="S14" s="139" t="s">
        <v>13</v>
      </c>
      <c r="T14" s="66">
        <f t="shared" si="3"/>
        <v>0.74194785276073616</v>
      </c>
      <c r="U14" s="66"/>
      <c r="V14" s="66">
        <f t="shared" si="3"/>
        <v>4.3180224403927072</v>
      </c>
      <c r="W14" s="66"/>
      <c r="X14" s="122">
        <f t="shared" si="7"/>
        <v>2.5299851465767218</v>
      </c>
      <c r="Y14" s="123">
        <f t="shared" si="8"/>
        <v>4.3180224403927072</v>
      </c>
      <c r="Z14" s="123">
        <f t="shared" si="9"/>
        <v>0.74194785276073616</v>
      </c>
      <c r="AB14" s="139" t="s">
        <v>13</v>
      </c>
      <c r="AC14" s="66">
        <f t="shared" si="10"/>
        <v>0.31692913385826771</v>
      </c>
      <c r="AD14" s="66">
        <f t="shared" si="10"/>
        <v>0.22425350396099938</v>
      </c>
      <c r="AE14" s="66">
        <f t="shared" si="10"/>
        <v>0.13908671973188103</v>
      </c>
      <c r="AF14" s="66"/>
      <c r="AG14" s="122">
        <f t="shared" si="11"/>
        <v>0.22675645251704937</v>
      </c>
      <c r="AH14" s="123">
        <f t="shared" si="12"/>
        <v>0.31692913385826771</v>
      </c>
      <c r="AI14" s="123">
        <f t="shared" si="13"/>
        <v>0.13908671973188103</v>
      </c>
      <c r="AK14" s="139" t="s">
        <v>13</v>
      </c>
      <c r="AL14" s="66">
        <f t="shared" si="14"/>
        <v>0.41617210682492584</v>
      </c>
      <c r="AM14" s="66">
        <f t="shared" si="4"/>
        <v>0.40676416819012795</v>
      </c>
      <c r="AN14" s="66">
        <f t="shared" si="4"/>
        <v>0.60203811221662773</v>
      </c>
      <c r="AO14" s="66"/>
      <c r="AP14" s="146">
        <f t="shared" si="15"/>
        <v>0.47499146241056051</v>
      </c>
      <c r="AQ14" s="123">
        <f t="shared" si="16"/>
        <v>0.60203811221662773</v>
      </c>
      <c r="AR14" s="123">
        <f t="shared" si="17"/>
        <v>0.40676416819012795</v>
      </c>
    </row>
    <row r="15" spans="1:44" ht="16.5" thickTop="1" thickBot="1" x14ac:dyDescent="0.3">
      <c r="A15" s="128" t="s">
        <v>0</v>
      </c>
      <c r="B15" s="129">
        <f t="shared" ref="B15:E15" si="18">SUM(B3:B14)</f>
        <v>59618.32</v>
      </c>
      <c r="C15" s="129">
        <f t="shared" si="18"/>
        <v>55540.800000000003</v>
      </c>
      <c r="D15" s="129">
        <f t="shared" si="18"/>
        <v>52711.840000000004</v>
      </c>
      <c r="E15" s="129">
        <f t="shared" si="18"/>
        <v>54025.599999999991</v>
      </c>
      <c r="J15" s="138" t="s">
        <v>1</v>
      </c>
      <c r="K15" s="61"/>
      <c r="L15" s="61"/>
      <c r="M15" s="61"/>
      <c r="N15" s="61"/>
      <c r="S15" s="138" t="s">
        <v>1</v>
      </c>
      <c r="T15" s="61">
        <f>AVERAGE(T3:T14)</f>
        <v>1.5117061089595318</v>
      </c>
      <c r="U15" s="61">
        <f t="shared" ref="U15:V15" si="19">AVERAGE(U3:U14)</f>
        <v>2.6125226844101759</v>
      </c>
      <c r="V15" s="61">
        <f t="shared" si="19"/>
        <v>2.0985407255331592</v>
      </c>
      <c r="W15" s="61">
        <f>AVERAGE(W3:W14)</f>
        <v>3.3688326141269074</v>
      </c>
      <c r="AB15" s="138" t="s">
        <v>1</v>
      </c>
      <c r="AC15" s="61">
        <f>AVERAGE(AC3:AC14)</f>
        <v>0.42894844060337717</v>
      </c>
      <c r="AD15" s="61">
        <f t="shared" ref="AD15:AE15" si="20">AVERAGE(AD3:AD14)</f>
        <v>0.43410482632185693</v>
      </c>
      <c r="AE15" s="61">
        <f t="shared" si="20"/>
        <v>0.48152492960616744</v>
      </c>
      <c r="AF15" s="61">
        <f>AVERAGE(AF3:AF14)</f>
        <v>0.33547036240933598</v>
      </c>
      <c r="AK15" s="138" t="s">
        <v>1</v>
      </c>
      <c r="AL15" s="145">
        <f>AVERAGE(AL3:AL14)</f>
        <v>0.92147774056720089</v>
      </c>
      <c r="AM15" s="145">
        <f t="shared" ref="AM15:AN15" si="21">AVERAGE(AM3:AM14)</f>
        <v>1.7569820125019622</v>
      </c>
      <c r="AN15" s="145">
        <f t="shared" si="21"/>
        <v>1.8149099021705568</v>
      </c>
      <c r="AO15" s="145">
        <f>AVERAGE(AO3:AO14)</f>
        <v>1.3836334362110214</v>
      </c>
      <c r="AP15" s="148"/>
    </row>
    <row r="16" spans="1:44" ht="15.75" thickTop="1" x14ac:dyDescent="0.25">
      <c r="A16" s="1" t="s">
        <v>72</v>
      </c>
      <c r="B16" s="1"/>
      <c r="F16" s="127"/>
      <c r="AL16" s="148"/>
      <c r="AM16" s="148"/>
      <c r="AN16" s="148"/>
      <c r="AO16" s="148"/>
      <c r="AP16" s="148"/>
    </row>
    <row r="17" spans="1:35" x14ac:dyDescent="0.25">
      <c r="A17" s="130" t="s">
        <v>15</v>
      </c>
      <c r="B17" s="127">
        <f t="shared" ref="B17:H17" si="22">AVERAGE(B3:B5,B12:B14)</f>
        <v>2617.6</v>
      </c>
      <c r="C17" s="127">
        <f t="shared" si="22"/>
        <v>1634.8</v>
      </c>
      <c r="D17" s="127">
        <f t="shared" si="22"/>
        <v>627.06666666666661</v>
      </c>
      <c r="E17" s="127">
        <f t="shared" si="22"/>
        <v>1405.9</v>
      </c>
      <c r="F17" s="127">
        <f t="shared" si="22"/>
        <v>1624.3722222222223</v>
      </c>
      <c r="G17" s="127">
        <f t="shared" si="22"/>
        <v>1978.4226136707121</v>
      </c>
      <c r="H17" s="127">
        <f t="shared" si="22"/>
        <v>1978.4226136707121</v>
      </c>
    </row>
    <row r="18" spans="1:35" x14ac:dyDescent="0.25">
      <c r="A18" s="130" t="s">
        <v>16</v>
      </c>
      <c r="B18" s="127">
        <f t="shared" ref="B18:H18" si="23">AVERAGE(B6:B11)</f>
        <v>7318.786666666666</v>
      </c>
      <c r="C18" s="127">
        <f t="shared" si="23"/>
        <v>7622</v>
      </c>
      <c r="D18" s="127">
        <f t="shared" si="23"/>
        <v>8158.2400000000007</v>
      </c>
      <c r="E18" s="127">
        <f t="shared" si="23"/>
        <v>8066.9999999999991</v>
      </c>
      <c r="F18" s="127">
        <f t="shared" si="23"/>
        <v>7791.5066666666671</v>
      </c>
      <c r="G18" s="127">
        <f t="shared" si="23"/>
        <v>1471.9754907590122</v>
      </c>
      <c r="H18" s="127">
        <f t="shared" si="23"/>
        <v>1471.9754907590122</v>
      </c>
    </row>
    <row r="19" spans="1:35" ht="15.75" thickBot="1" x14ac:dyDescent="0.3"/>
    <row r="20" spans="1:35" ht="17.25" thickTop="1" thickBot="1" x14ac:dyDescent="0.3">
      <c r="A20" s="140" t="s">
        <v>91</v>
      </c>
      <c r="B20" s="141"/>
      <c r="C20" s="141"/>
      <c r="D20" s="141"/>
      <c r="E20" s="141"/>
      <c r="F20" s="142"/>
      <c r="J20" s="140" t="s">
        <v>204</v>
      </c>
      <c r="K20" s="141"/>
      <c r="L20" s="141"/>
      <c r="M20" s="141"/>
      <c r="N20" s="141"/>
      <c r="O20" s="142"/>
      <c r="S20" s="140" t="s">
        <v>169</v>
      </c>
      <c r="T20" s="141"/>
      <c r="U20" s="141"/>
      <c r="V20" s="141"/>
      <c r="W20" s="141"/>
      <c r="X20" s="142"/>
      <c r="AB20" s="149" t="s">
        <v>170</v>
      </c>
      <c r="AC20" s="164"/>
      <c r="AD20" s="164"/>
      <c r="AE20" s="164"/>
      <c r="AF20" s="164"/>
      <c r="AG20" s="150"/>
      <c r="AH20" s="148"/>
      <c r="AI20" s="148"/>
    </row>
    <row r="21" spans="1:35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117" t="s">
        <v>18</v>
      </c>
      <c r="Q21" s="117" t="s">
        <v>17</v>
      </c>
      <c r="S21" s="124"/>
      <c r="T21" s="125">
        <v>2014</v>
      </c>
      <c r="U21" s="125">
        <v>2015</v>
      </c>
      <c r="V21" s="125">
        <v>2016</v>
      </c>
      <c r="W21" s="125">
        <v>2017</v>
      </c>
      <c r="X21" s="126" t="s">
        <v>1</v>
      </c>
      <c r="Y21" s="117" t="s">
        <v>18</v>
      </c>
      <c r="Z21" s="117" t="s">
        <v>17</v>
      </c>
      <c r="AB21" s="151"/>
      <c r="AC21" s="147">
        <v>2014</v>
      </c>
      <c r="AD21" s="147">
        <v>2015</v>
      </c>
      <c r="AE21" s="147">
        <v>2016</v>
      </c>
      <c r="AF21" s="147">
        <v>2017</v>
      </c>
      <c r="AG21" s="152" t="s">
        <v>1</v>
      </c>
      <c r="AH21" s="165" t="s">
        <v>18</v>
      </c>
      <c r="AI21" s="165" t="s">
        <v>17</v>
      </c>
    </row>
    <row r="22" spans="1:35" x14ac:dyDescent="0.25">
      <c r="A22" s="119" t="s">
        <v>2</v>
      </c>
      <c r="B22" s="84">
        <v>0</v>
      </c>
      <c r="C22" s="84">
        <v>0</v>
      </c>
      <c r="D22" s="84">
        <v>57</v>
      </c>
      <c r="E22" s="118">
        <v>44</v>
      </c>
      <c r="F22" s="127">
        <f t="shared" ref="F22:F33" si="24">AVERAGE(B22:E22)</f>
        <v>25.25</v>
      </c>
      <c r="G22" s="127">
        <f t="shared" ref="G22:G33" si="25">STDEVA(B22:E22)</f>
        <v>29.635283025474887</v>
      </c>
      <c r="H22" s="127">
        <f t="shared" ref="H22:H33" si="26">STDEVA(B22:E22)</f>
        <v>29.635283025474887</v>
      </c>
      <c r="I22" s="122"/>
      <c r="J22" s="119" t="s">
        <v>2</v>
      </c>
      <c r="K22" s="134">
        <f>B22+B74</f>
        <v>0</v>
      </c>
      <c r="L22" s="134">
        <f t="shared" ref="L22:N33" si="27">C22+C74</f>
        <v>168</v>
      </c>
      <c r="M22" s="134">
        <f t="shared" si="27"/>
        <v>57</v>
      </c>
      <c r="N22" s="134">
        <f t="shared" si="27"/>
        <v>644</v>
      </c>
      <c r="O22" s="127">
        <f t="shared" ref="O22:O33" si="28">AVERAGE(K22:N22)</f>
        <v>217.25</v>
      </c>
      <c r="P22" s="127">
        <f t="shared" ref="P22:P33" si="29">STDEVA(K22:N22)</f>
        <v>292.92703869735209</v>
      </c>
      <c r="Q22" s="127">
        <f t="shared" ref="Q22:Q33" si="30">STDEVA(K22:N22)</f>
        <v>292.92703869735209</v>
      </c>
      <c r="S22" s="119" t="s">
        <v>2</v>
      </c>
      <c r="T22" s="134">
        <f>K22+B91+B41+B127</f>
        <v>4199</v>
      </c>
      <c r="U22" s="134">
        <f t="shared" ref="U22:W33" si="31">L22+C91+C41+C127</f>
        <v>5734</v>
      </c>
      <c r="V22" s="134">
        <f t="shared" si="31"/>
        <v>4372</v>
      </c>
      <c r="W22" s="134">
        <f t="shared" si="31"/>
        <v>8168</v>
      </c>
      <c r="X22" s="127">
        <f t="shared" ref="X22:X33" si="32">AVERAGE(T22:W22)</f>
        <v>5618.25</v>
      </c>
      <c r="Y22" s="127">
        <f t="shared" ref="Y22:Y33" si="33">STDEVA(T22:W22)</f>
        <v>1833.2150946720174</v>
      </c>
      <c r="Z22" s="127">
        <f t="shared" ref="Z22:Z33" si="34">STDEVA(T22:W22)</f>
        <v>1833.2150946720174</v>
      </c>
      <c r="AB22" s="153" t="s">
        <v>2</v>
      </c>
      <c r="AC22" s="77">
        <f>(B3+B108+B144)-T22</f>
        <v>-1913</v>
      </c>
      <c r="AD22" s="77">
        <f t="shared" ref="AD22:AF33" si="35">(C3+C108+C144)-U22</f>
        <v>-1288.4400000000005</v>
      </c>
      <c r="AE22" s="77">
        <f t="shared" si="35"/>
        <v>7313</v>
      </c>
      <c r="AF22" s="77">
        <f t="shared" si="35"/>
        <v>-1591.04</v>
      </c>
      <c r="AG22" s="166">
        <f t="shared" ref="AG22:AG33" si="36">AVERAGE(AC22:AF22)</f>
        <v>630.12999999999988</v>
      </c>
      <c r="AH22" s="167">
        <f t="shared" ref="AH22:AH33" si="37">MAX(AC22:AF22)</f>
        <v>7313</v>
      </c>
      <c r="AI22" s="167">
        <f t="shared" ref="AI22:AI33" si="38">MIN(AC22:AF22)</f>
        <v>-1913</v>
      </c>
    </row>
    <row r="23" spans="1:35" x14ac:dyDescent="0.25">
      <c r="A23" s="119" t="s">
        <v>3</v>
      </c>
      <c r="B23" s="84">
        <v>0</v>
      </c>
      <c r="C23" s="84">
        <v>0</v>
      </c>
      <c r="D23" s="84">
        <v>35</v>
      </c>
      <c r="E23" s="118">
        <v>29</v>
      </c>
      <c r="F23" s="127">
        <f t="shared" si="24"/>
        <v>16</v>
      </c>
      <c r="G23" s="127">
        <f t="shared" si="25"/>
        <v>18.636880997992485</v>
      </c>
      <c r="H23" s="127">
        <f t="shared" si="26"/>
        <v>18.636880997992485</v>
      </c>
      <c r="I23" s="122"/>
      <c r="J23" s="119" t="s">
        <v>3</v>
      </c>
      <c r="K23" s="134">
        <f t="shared" ref="K23:K33" si="39">B23+B75</f>
        <v>183</v>
      </c>
      <c r="L23" s="134">
        <f t="shared" si="27"/>
        <v>510</v>
      </c>
      <c r="M23" s="134">
        <f t="shared" si="27"/>
        <v>35</v>
      </c>
      <c r="N23" s="134">
        <f t="shared" si="27"/>
        <v>611</v>
      </c>
      <c r="O23" s="127">
        <f t="shared" si="28"/>
        <v>334.75</v>
      </c>
      <c r="P23" s="127">
        <f t="shared" si="29"/>
        <v>270.74265148537887</v>
      </c>
      <c r="Q23" s="127">
        <f t="shared" si="30"/>
        <v>270.74265148537887</v>
      </c>
      <c r="S23" s="119" t="s">
        <v>3</v>
      </c>
      <c r="T23" s="134">
        <f t="shared" ref="T23:T32" si="40">K23+B92+B42+B128</f>
        <v>7167</v>
      </c>
      <c r="U23" s="134">
        <f t="shared" si="31"/>
        <v>8680</v>
      </c>
      <c r="V23" s="134">
        <f t="shared" si="31"/>
        <v>6811</v>
      </c>
      <c r="W23" s="134">
        <f t="shared" si="31"/>
        <v>9550</v>
      </c>
      <c r="X23" s="127">
        <f t="shared" si="32"/>
        <v>8052</v>
      </c>
      <c r="Y23" s="127">
        <f t="shared" si="33"/>
        <v>1286.0396572423417</v>
      </c>
      <c r="Z23" s="127">
        <f t="shared" si="34"/>
        <v>1286.0396572423417</v>
      </c>
      <c r="AB23" s="153" t="s">
        <v>3</v>
      </c>
      <c r="AC23" s="77">
        <f t="shared" ref="AC23:AC33" si="41">(B4+B109+B145)-T23</f>
        <v>1172.5599999999995</v>
      </c>
      <c r="AD23" s="77">
        <f t="shared" si="35"/>
        <v>2778.24</v>
      </c>
      <c r="AE23" s="77">
        <f t="shared" si="35"/>
        <v>-3436</v>
      </c>
      <c r="AF23" s="77">
        <f t="shared" si="35"/>
        <v>-3510.6399999999994</v>
      </c>
      <c r="AG23" s="166">
        <f t="shared" si="36"/>
        <v>-748.96</v>
      </c>
      <c r="AH23" s="167">
        <f t="shared" si="37"/>
        <v>2778.24</v>
      </c>
      <c r="AI23" s="167">
        <f t="shared" si="38"/>
        <v>-3510.6399999999994</v>
      </c>
    </row>
    <row r="24" spans="1:35" x14ac:dyDescent="0.25">
      <c r="A24" s="119" t="s">
        <v>4</v>
      </c>
      <c r="B24" s="84">
        <v>0</v>
      </c>
      <c r="C24" s="84">
        <v>0</v>
      </c>
      <c r="D24" s="84">
        <v>20</v>
      </c>
      <c r="E24" s="118">
        <v>39</v>
      </c>
      <c r="F24" s="127">
        <f t="shared" si="24"/>
        <v>14.75</v>
      </c>
      <c r="G24" s="127">
        <f t="shared" si="25"/>
        <v>18.714967272212903</v>
      </c>
      <c r="H24" s="127">
        <f t="shared" si="26"/>
        <v>18.714967272212903</v>
      </c>
      <c r="I24" s="122"/>
      <c r="J24" s="119" t="s">
        <v>4</v>
      </c>
      <c r="K24" s="134">
        <f t="shared" si="39"/>
        <v>0</v>
      </c>
      <c r="L24" s="134">
        <f t="shared" si="27"/>
        <v>246</v>
      </c>
      <c r="M24" s="134">
        <f t="shared" si="27"/>
        <v>20</v>
      </c>
      <c r="N24" s="134">
        <f t="shared" si="27"/>
        <v>39</v>
      </c>
      <c r="O24" s="127">
        <f t="shared" si="28"/>
        <v>76.25</v>
      </c>
      <c r="P24" s="127">
        <f t="shared" si="29"/>
        <v>114.2814508133319</v>
      </c>
      <c r="Q24" s="127">
        <f t="shared" si="30"/>
        <v>114.2814508133319</v>
      </c>
      <c r="S24" s="119" t="s">
        <v>4</v>
      </c>
      <c r="T24" s="134">
        <f t="shared" si="40"/>
        <v>7763</v>
      </c>
      <c r="U24" s="134">
        <f t="shared" si="31"/>
        <v>6814</v>
      </c>
      <c r="V24" s="134">
        <f t="shared" si="31"/>
        <v>7984</v>
      </c>
      <c r="W24" s="134">
        <f t="shared" si="31"/>
        <v>10050</v>
      </c>
      <c r="X24" s="127">
        <f t="shared" si="32"/>
        <v>8152.75</v>
      </c>
      <c r="Y24" s="127">
        <f t="shared" si="33"/>
        <v>1362.8634989120028</v>
      </c>
      <c r="Z24" s="127">
        <f t="shared" si="34"/>
        <v>1362.8634989120028</v>
      </c>
      <c r="AB24" s="153" t="s">
        <v>4</v>
      </c>
      <c r="AC24" s="77">
        <f t="shared" si="41"/>
        <v>-5477</v>
      </c>
      <c r="AD24" s="77">
        <f t="shared" si="35"/>
        <v>-2608.88</v>
      </c>
      <c r="AE24" s="77">
        <f t="shared" si="35"/>
        <v>-3508</v>
      </c>
      <c r="AF24" s="77">
        <f t="shared" si="35"/>
        <v>-7796</v>
      </c>
      <c r="AG24" s="166">
        <f t="shared" si="36"/>
        <v>-4847.47</v>
      </c>
      <c r="AH24" s="167">
        <f t="shared" si="37"/>
        <v>-2608.88</v>
      </c>
      <c r="AI24" s="167">
        <f t="shared" si="38"/>
        <v>-7796</v>
      </c>
    </row>
    <row r="25" spans="1:35" x14ac:dyDescent="0.25">
      <c r="A25" s="119" t="s">
        <v>5</v>
      </c>
      <c r="B25" s="84">
        <v>164</v>
      </c>
      <c r="C25" s="84">
        <v>58</v>
      </c>
      <c r="D25" s="84">
        <v>311</v>
      </c>
      <c r="E25" s="118">
        <v>44</v>
      </c>
      <c r="F25" s="127">
        <f t="shared" si="24"/>
        <v>144.25</v>
      </c>
      <c r="G25" s="127">
        <f t="shared" si="25"/>
        <v>123.40279575439124</v>
      </c>
      <c r="H25" s="127">
        <f t="shared" si="26"/>
        <v>123.40279575439124</v>
      </c>
      <c r="I25" s="122"/>
      <c r="J25" s="119" t="s">
        <v>5</v>
      </c>
      <c r="K25" s="134">
        <f t="shared" si="39"/>
        <v>6290</v>
      </c>
      <c r="L25" s="134">
        <f t="shared" si="27"/>
        <v>5695</v>
      </c>
      <c r="M25" s="134">
        <f t="shared" si="27"/>
        <v>12356</v>
      </c>
      <c r="N25" s="134">
        <f t="shared" si="27"/>
        <v>13727</v>
      </c>
      <c r="O25" s="127">
        <f t="shared" si="28"/>
        <v>9517</v>
      </c>
      <c r="P25" s="127">
        <f t="shared" si="29"/>
        <v>4115.2251457241073</v>
      </c>
      <c r="Q25" s="127">
        <f t="shared" si="30"/>
        <v>4115.2251457241073</v>
      </c>
      <c r="S25" s="119" t="s">
        <v>5</v>
      </c>
      <c r="T25" s="134">
        <f t="shared" si="40"/>
        <v>19971</v>
      </c>
      <c r="U25" s="134">
        <f t="shared" si="31"/>
        <v>17107</v>
      </c>
      <c r="V25" s="134">
        <f t="shared" si="31"/>
        <v>27444</v>
      </c>
      <c r="W25" s="134">
        <f t="shared" si="31"/>
        <v>25384</v>
      </c>
      <c r="X25" s="127">
        <f t="shared" si="32"/>
        <v>22476.5</v>
      </c>
      <c r="Y25" s="127">
        <f t="shared" si="33"/>
        <v>4769.3001932498792</v>
      </c>
      <c r="Z25" s="127">
        <f t="shared" si="34"/>
        <v>4769.3001932498792</v>
      </c>
      <c r="AB25" s="153" t="s">
        <v>5</v>
      </c>
      <c r="AC25" s="77">
        <f t="shared" si="41"/>
        <v>331.04000000000087</v>
      </c>
      <c r="AD25" s="77">
        <f t="shared" si="35"/>
        <v>-2111.2400000000016</v>
      </c>
      <c r="AE25" s="77">
        <f t="shared" si="35"/>
        <v>-1724.1600000000035</v>
      </c>
      <c r="AF25" s="77">
        <f t="shared" si="35"/>
        <v>1390.2799999999988</v>
      </c>
      <c r="AG25" s="166">
        <f t="shared" si="36"/>
        <v>-528.52000000000135</v>
      </c>
      <c r="AH25" s="167">
        <f t="shared" si="37"/>
        <v>1390.2799999999988</v>
      </c>
      <c r="AI25" s="167">
        <f t="shared" si="38"/>
        <v>-2111.2400000000016</v>
      </c>
    </row>
    <row r="26" spans="1:35" x14ac:dyDescent="0.25">
      <c r="A26" s="119" t="s">
        <v>6</v>
      </c>
      <c r="B26" s="84">
        <v>219</v>
      </c>
      <c r="C26" s="84">
        <v>172</v>
      </c>
      <c r="D26" s="84">
        <v>97</v>
      </c>
      <c r="E26" s="118">
        <v>102</v>
      </c>
      <c r="F26" s="127">
        <f t="shared" si="24"/>
        <v>147.5</v>
      </c>
      <c r="G26" s="127">
        <f t="shared" si="25"/>
        <v>58.688442928172265</v>
      </c>
      <c r="H26" s="127">
        <f t="shared" si="26"/>
        <v>58.688442928172265</v>
      </c>
      <c r="I26" s="122"/>
      <c r="J26" s="119" t="s">
        <v>6</v>
      </c>
      <c r="K26" s="134">
        <f t="shared" si="39"/>
        <v>16488</v>
      </c>
      <c r="L26" s="134">
        <f t="shared" si="27"/>
        <v>10711</v>
      </c>
      <c r="M26" s="134">
        <f t="shared" si="27"/>
        <v>11689</v>
      </c>
      <c r="N26" s="134">
        <f t="shared" si="27"/>
        <v>18966</v>
      </c>
      <c r="O26" s="127">
        <f t="shared" si="28"/>
        <v>14463.5</v>
      </c>
      <c r="P26" s="127">
        <f t="shared" si="29"/>
        <v>3922.168320372461</v>
      </c>
      <c r="Q26" s="127">
        <f t="shared" si="30"/>
        <v>3922.168320372461</v>
      </c>
      <c r="S26" s="119" t="s">
        <v>6</v>
      </c>
      <c r="T26" s="134">
        <f t="shared" si="40"/>
        <v>36144</v>
      </c>
      <c r="U26" s="134">
        <f t="shared" si="31"/>
        <v>24803</v>
      </c>
      <c r="V26" s="134">
        <f t="shared" si="31"/>
        <v>24122</v>
      </c>
      <c r="W26" s="134">
        <f t="shared" si="31"/>
        <v>31812</v>
      </c>
      <c r="X26" s="127">
        <f t="shared" si="32"/>
        <v>29220.25</v>
      </c>
      <c r="Y26" s="127">
        <f t="shared" si="33"/>
        <v>5778.1119393218169</v>
      </c>
      <c r="Z26" s="127">
        <f t="shared" si="34"/>
        <v>5778.1119393218169</v>
      </c>
      <c r="AB26" s="153" t="s">
        <v>6</v>
      </c>
      <c r="AC26" s="77">
        <f t="shared" si="41"/>
        <v>544.36000000000058</v>
      </c>
      <c r="AD26" s="77">
        <f t="shared" si="35"/>
        <v>-3165.5200000000004</v>
      </c>
      <c r="AE26" s="77">
        <f t="shared" si="35"/>
        <v>-9972.08</v>
      </c>
      <c r="AF26" s="77">
        <f t="shared" si="35"/>
        <v>-351.68000000000029</v>
      </c>
      <c r="AG26" s="166">
        <f t="shared" si="36"/>
        <v>-3236.23</v>
      </c>
      <c r="AH26" s="167">
        <f t="shared" si="37"/>
        <v>544.36000000000058</v>
      </c>
      <c r="AI26" s="167">
        <f t="shared" si="38"/>
        <v>-9972.08</v>
      </c>
    </row>
    <row r="27" spans="1:35" x14ac:dyDescent="0.25">
      <c r="A27" s="119" t="s">
        <v>7</v>
      </c>
      <c r="B27" s="84">
        <v>574</v>
      </c>
      <c r="C27" s="84">
        <v>626</v>
      </c>
      <c r="D27" s="84">
        <v>1075</v>
      </c>
      <c r="E27" s="118">
        <v>878</v>
      </c>
      <c r="F27" s="127">
        <f t="shared" si="24"/>
        <v>788.25</v>
      </c>
      <c r="G27" s="127">
        <f t="shared" si="25"/>
        <v>232.74359998361575</v>
      </c>
      <c r="H27" s="127">
        <f t="shared" si="26"/>
        <v>232.74359998361575</v>
      </c>
      <c r="I27" s="122"/>
      <c r="J27" s="119" t="s">
        <v>7</v>
      </c>
      <c r="K27" s="134">
        <f t="shared" si="39"/>
        <v>20167</v>
      </c>
      <c r="L27" s="134">
        <f t="shared" si="27"/>
        <v>19940</v>
      </c>
      <c r="M27" s="134">
        <f t="shared" si="27"/>
        <v>26584</v>
      </c>
      <c r="N27" s="134">
        <f t="shared" si="27"/>
        <v>23804</v>
      </c>
      <c r="O27" s="127">
        <f t="shared" si="28"/>
        <v>22623.75</v>
      </c>
      <c r="P27" s="127">
        <f t="shared" si="29"/>
        <v>3178.8207850291487</v>
      </c>
      <c r="Q27" s="127">
        <f t="shared" si="30"/>
        <v>3178.8207850291487</v>
      </c>
      <c r="S27" s="119" t="s">
        <v>7</v>
      </c>
      <c r="T27" s="134">
        <f t="shared" si="40"/>
        <v>46988</v>
      </c>
      <c r="U27" s="134">
        <f t="shared" si="31"/>
        <v>40189</v>
      </c>
      <c r="V27" s="134">
        <f t="shared" si="31"/>
        <v>45834</v>
      </c>
      <c r="W27" s="134">
        <f t="shared" si="31"/>
        <v>50908</v>
      </c>
      <c r="X27" s="127">
        <f t="shared" si="32"/>
        <v>45979.75</v>
      </c>
      <c r="Y27" s="127">
        <f t="shared" si="33"/>
        <v>4429.3808728384001</v>
      </c>
      <c r="Z27" s="127">
        <f t="shared" si="34"/>
        <v>4429.3808728384001</v>
      </c>
      <c r="AB27" s="153" t="s">
        <v>7</v>
      </c>
      <c r="AC27" s="77">
        <f t="shared" si="41"/>
        <v>16219.919999999998</v>
      </c>
      <c r="AD27" s="77">
        <f t="shared" si="35"/>
        <v>11994.400000000001</v>
      </c>
      <c r="AE27" s="77">
        <f t="shared" si="35"/>
        <v>-5795.2400000000052</v>
      </c>
      <c r="AF27" s="77">
        <f t="shared" si="35"/>
        <v>-449.92000000000553</v>
      </c>
      <c r="AG27" s="166">
        <f t="shared" si="36"/>
        <v>5492.2899999999972</v>
      </c>
      <c r="AH27" s="167">
        <f t="shared" si="37"/>
        <v>16219.919999999998</v>
      </c>
      <c r="AI27" s="167">
        <f t="shared" si="38"/>
        <v>-5795.2400000000052</v>
      </c>
    </row>
    <row r="28" spans="1:35" x14ac:dyDescent="0.25">
      <c r="A28" s="119" t="s">
        <v>8</v>
      </c>
      <c r="B28" s="84">
        <v>3947</v>
      </c>
      <c r="C28" s="84">
        <v>2587</v>
      </c>
      <c r="D28" s="84">
        <v>1356</v>
      </c>
      <c r="E28" s="84">
        <v>2373</v>
      </c>
      <c r="F28" s="127">
        <f t="shared" si="24"/>
        <v>2565.75</v>
      </c>
      <c r="G28" s="127">
        <f t="shared" si="25"/>
        <v>1065.9816680725176</v>
      </c>
      <c r="H28" s="127">
        <f t="shared" si="26"/>
        <v>1065.9816680725176</v>
      </c>
      <c r="I28" s="122"/>
      <c r="J28" s="119" t="s">
        <v>8</v>
      </c>
      <c r="K28" s="134">
        <f t="shared" si="39"/>
        <v>51503</v>
      </c>
      <c r="L28" s="134">
        <f t="shared" si="27"/>
        <v>54049</v>
      </c>
      <c r="M28" s="134">
        <f t="shared" si="27"/>
        <v>52587</v>
      </c>
      <c r="N28" s="134">
        <f t="shared" si="27"/>
        <v>55569</v>
      </c>
      <c r="O28" s="127">
        <f t="shared" si="28"/>
        <v>53427</v>
      </c>
      <c r="P28" s="127">
        <f t="shared" si="29"/>
        <v>1768.4667558839399</v>
      </c>
      <c r="Q28" s="127">
        <f t="shared" si="30"/>
        <v>1768.4667558839399</v>
      </c>
      <c r="S28" s="119" t="s">
        <v>8</v>
      </c>
      <c r="T28" s="134">
        <f t="shared" si="40"/>
        <v>122075</v>
      </c>
      <c r="U28" s="134">
        <f t="shared" si="31"/>
        <v>119976</v>
      </c>
      <c r="V28" s="134">
        <f t="shared" si="31"/>
        <v>98827</v>
      </c>
      <c r="W28" s="134">
        <f t="shared" si="31"/>
        <v>99059</v>
      </c>
      <c r="X28" s="127">
        <f t="shared" si="32"/>
        <v>109984.25</v>
      </c>
      <c r="Y28" s="127">
        <f t="shared" si="33"/>
        <v>12778.453463415151</v>
      </c>
      <c r="Z28" s="127">
        <f t="shared" si="34"/>
        <v>12778.453463415151</v>
      </c>
      <c r="AB28" s="153" t="s">
        <v>8</v>
      </c>
      <c r="AC28" s="77">
        <f t="shared" si="41"/>
        <v>68464.919999999984</v>
      </c>
      <c r="AD28" s="77">
        <f t="shared" si="35"/>
        <v>32730.039999999979</v>
      </c>
      <c r="AE28" s="77">
        <f t="shared" si="35"/>
        <v>13620.319999999992</v>
      </c>
      <c r="AF28" s="77">
        <f t="shared" si="35"/>
        <v>42646.599999999977</v>
      </c>
      <c r="AG28" s="166">
        <f t="shared" si="36"/>
        <v>39365.469999999987</v>
      </c>
      <c r="AH28" s="167">
        <f t="shared" si="37"/>
        <v>68464.919999999984</v>
      </c>
      <c r="AI28" s="167">
        <f t="shared" si="38"/>
        <v>13620.319999999992</v>
      </c>
    </row>
    <row r="29" spans="1:35" x14ac:dyDescent="0.25">
      <c r="A29" s="119" t="s">
        <v>9</v>
      </c>
      <c r="B29" s="84">
        <v>1610</v>
      </c>
      <c r="C29" s="84">
        <v>1778</v>
      </c>
      <c r="D29" s="84">
        <v>1100</v>
      </c>
      <c r="E29" s="84">
        <v>1944</v>
      </c>
      <c r="F29" s="127">
        <f t="shared" si="24"/>
        <v>1608</v>
      </c>
      <c r="G29" s="127">
        <f t="shared" si="25"/>
        <v>365.08629116963567</v>
      </c>
      <c r="H29" s="127">
        <f t="shared" si="26"/>
        <v>365.08629116963567</v>
      </c>
      <c r="I29" s="122"/>
      <c r="J29" s="119" t="s">
        <v>9</v>
      </c>
      <c r="K29" s="134">
        <f t="shared" si="39"/>
        <v>67163</v>
      </c>
      <c r="L29" s="134">
        <f t="shared" si="27"/>
        <v>83045</v>
      </c>
      <c r="M29" s="134">
        <f t="shared" si="27"/>
        <v>67577</v>
      </c>
      <c r="N29" s="134">
        <f t="shared" si="27"/>
        <v>60663</v>
      </c>
      <c r="O29" s="127">
        <f t="shared" si="28"/>
        <v>69612</v>
      </c>
      <c r="P29" s="127">
        <f t="shared" si="29"/>
        <v>9498.5773671639909</v>
      </c>
      <c r="Q29" s="127">
        <f t="shared" si="30"/>
        <v>9498.5773671639909</v>
      </c>
      <c r="S29" s="119" t="s">
        <v>9</v>
      </c>
      <c r="T29" s="134">
        <f t="shared" si="40"/>
        <v>185127</v>
      </c>
      <c r="U29" s="134">
        <f t="shared" si="31"/>
        <v>193742</v>
      </c>
      <c r="V29" s="134">
        <f t="shared" si="31"/>
        <v>156051</v>
      </c>
      <c r="W29" s="134">
        <f t="shared" si="31"/>
        <v>142875</v>
      </c>
      <c r="X29" s="127">
        <f t="shared" si="32"/>
        <v>169448.75</v>
      </c>
      <c r="Y29" s="127">
        <f t="shared" si="33"/>
        <v>23955.746789653625</v>
      </c>
      <c r="Z29" s="127">
        <f t="shared" si="34"/>
        <v>23955.746789653625</v>
      </c>
      <c r="AB29" s="153" t="s">
        <v>9</v>
      </c>
      <c r="AC29" s="77">
        <f t="shared" si="41"/>
        <v>20876</v>
      </c>
      <c r="AD29" s="77">
        <f t="shared" si="35"/>
        <v>21332.959999999992</v>
      </c>
      <c r="AE29" s="77">
        <f t="shared" si="35"/>
        <v>16226.119999999995</v>
      </c>
      <c r="AF29" s="77">
        <f t="shared" si="35"/>
        <v>39961.199999999983</v>
      </c>
      <c r="AG29" s="166">
        <f t="shared" si="36"/>
        <v>24599.069999999992</v>
      </c>
      <c r="AH29" s="167">
        <f t="shared" si="37"/>
        <v>39961.199999999983</v>
      </c>
      <c r="AI29" s="167">
        <f t="shared" si="38"/>
        <v>16226.119999999995</v>
      </c>
    </row>
    <row r="30" spans="1:35" x14ac:dyDescent="0.25">
      <c r="A30" s="119" t="s">
        <v>10</v>
      </c>
      <c r="B30" s="84">
        <v>441</v>
      </c>
      <c r="C30" s="84">
        <v>578</v>
      </c>
      <c r="D30" s="84">
        <v>352</v>
      </c>
      <c r="E30" s="118">
        <v>386</v>
      </c>
      <c r="F30" s="127">
        <f t="shared" si="24"/>
        <v>439.25</v>
      </c>
      <c r="G30" s="127">
        <f t="shared" si="25"/>
        <v>99.503350027356703</v>
      </c>
      <c r="H30" s="127">
        <f t="shared" si="26"/>
        <v>99.503350027356703</v>
      </c>
      <c r="I30" s="122"/>
      <c r="J30" s="119" t="s">
        <v>10</v>
      </c>
      <c r="K30" s="134">
        <f t="shared" si="39"/>
        <v>18870</v>
      </c>
      <c r="L30" s="134">
        <f t="shared" si="27"/>
        <v>20291</v>
      </c>
      <c r="M30" s="134">
        <f t="shared" si="27"/>
        <v>32602</v>
      </c>
      <c r="N30" s="134">
        <f t="shared" si="27"/>
        <v>30017</v>
      </c>
      <c r="O30" s="127">
        <f t="shared" si="28"/>
        <v>25445</v>
      </c>
      <c r="P30" s="127">
        <f t="shared" si="29"/>
        <v>6877.9884171657823</v>
      </c>
      <c r="Q30" s="127">
        <f t="shared" si="30"/>
        <v>6877.9884171657823</v>
      </c>
      <c r="S30" s="119" t="s">
        <v>10</v>
      </c>
      <c r="T30" s="134">
        <f t="shared" si="40"/>
        <v>63834</v>
      </c>
      <c r="U30" s="134">
        <f t="shared" si="31"/>
        <v>55523</v>
      </c>
      <c r="V30" s="134">
        <f t="shared" si="31"/>
        <v>62260</v>
      </c>
      <c r="W30" s="134">
        <f t="shared" si="31"/>
        <v>65506</v>
      </c>
      <c r="X30" s="127">
        <f t="shared" si="32"/>
        <v>61780.75</v>
      </c>
      <c r="Y30" s="127">
        <f t="shared" si="33"/>
        <v>4377.3065824393279</v>
      </c>
      <c r="Z30" s="127">
        <f t="shared" si="34"/>
        <v>4377.3065824393279</v>
      </c>
      <c r="AB30" s="153" t="s">
        <v>10</v>
      </c>
      <c r="AC30" s="77">
        <f t="shared" si="41"/>
        <v>5804.1199999999953</v>
      </c>
      <c r="AD30" s="77">
        <f t="shared" si="35"/>
        <v>2276.8799999999974</v>
      </c>
      <c r="AE30" s="77">
        <f t="shared" si="35"/>
        <v>3913.5599999999977</v>
      </c>
      <c r="AF30" s="77">
        <f t="shared" si="35"/>
        <v>4940.9199999999983</v>
      </c>
      <c r="AG30" s="166">
        <f t="shared" si="36"/>
        <v>4233.8699999999972</v>
      </c>
      <c r="AH30" s="167">
        <f t="shared" si="37"/>
        <v>5804.1199999999953</v>
      </c>
      <c r="AI30" s="167">
        <f t="shared" si="38"/>
        <v>2276.8799999999974</v>
      </c>
    </row>
    <row r="31" spans="1:35" x14ac:dyDescent="0.25">
      <c r="A31" s="119" t="s">
        <v>11</v>
      </c>
      <c r="B31" s="84">
        <v>17</v>
      </c>
      <c r="C31" s="84">
        <v>0</v>
      </c>
      <c r="D31" s="84">
        <v>53</v>
      </c>
      <c r="E31" s="118">
        <v>39</v>
      </c>
      <c r="F31" s="127">
        <f t="shared" si="24"/>
        <v>27.25</v>
      </c>
      <c r="G31" s="127">
        <f t="shared" si="25"/>
        <v>23.44319375284292</v>
      </c>
      <c r="H31" s="127">
        <f t="shared" si="26"/>
        <v>23.44319375284292</v>
      </c>
      <c r="I31" s="122"/>
      <c r="J31" s="119" t="s">
        <v>11</v>
      </c>
      <c r="K31" s="134">
        <f t="shared" si="39"/>
        <v>2903</v>
      </c>
      <c r="L31" s="134">
        <f t="shared" si="27"/>
        <v>2382</v>
      </c>
      <c r="M31" s="134">
        <f t="shared" si="27"/>
        <v>7232</v>
      </c>
      <c r="N31" s="134">
        <f t="shared" si="27"/>
        <v>6720</v>
      </c>
      <c r="O31" s="127">
        <f t="shared" si="28"/>
        <v>4809.25</v>
      </c>
      <c r="P31" s="127">
        <f t="shared" si="29"/>
        <v>2519.6570368471448</v>
      </c>
      <c r="Q31" s="127">
        <f t="shared" si="30"/>
        <v>2519.6570368471448</v>
      </c>
      <c r="S31" s="119" t="s">
        <v>11</v>
      </c>
      <c r="T31" s="134">
        <f t="shared" si="40"/>
        <v>15812</v>
      </c>
      <c r="U31" s="134">
        <f t="shared" si="31"/>
        <v>14351</v>
      </c>
      <c r="V31" s="134">
        <f t="shared" si="31"/>
        <v>19951</v>
      </c>
      <c r="W31" s="134">
        <f t="shared" si="31"/>
        <v>22041</v>
      </c>
      <c r="X31" s="127">
        <f t="shared" si="32"/>
        <v>18038.75</v>
      </c>
      <c r="Y31" s="127">
        <f t="shared" si="33"/>
        <v>3569.9029281853964</v>
      </c>
      <c r="Z31" s="127">
        <f t="shared" si="34"/>
        <v>3569.9029281853964</v>
      </c>
      <c r="AB31" s="153" t="s">
        <v>11</v>
      </c>
      <c r="AC31" s="77">
        <f t="shared" si="41"/>
        <v>-3657.1200000000008</v>
      </c>
      <c r="AD31" s="77">
        <f t="shared" si="35"/>
        <v>-11730.84</v>
      </c>
      <c r="AE31" s="77">
        <f t="shared" si="35"/>
        <v>-9571.9600000000009</v>
      </c>
      <c r="AF31" s="77">
        <f t="shared" si="35"/>
        <v>-10021.16</v>
      </c>
      <c r="AG31" s="166">
        <f t="shared" si="36"/>
        <v>-8745.27</v>
      </c>
      <c r="AH31" s="167">
        <f t="shared" si="37"/>
        <v>-3657.1200000000008</v>
      </c>
      <c r="AI31" s="167">
        <f t="shared" si="38"/>
        <v>-11730.84</v>
      </c>
    </row>
    <row r="32" spans="1:35" x14ac:dyDescent="0.25">
      <c r="A32" s="119" t="s">
        <v>12</v>
      </c>
      <c r="B32" s="84">
        <v>10</v>
      </c>
      <c r="C32" s="84">
        <v>44</v>
      </c>
      <c r="D32" s="84">
        <v>209</v>
      </c>
      <c r="E32" s="117">
        <v>458</v>
      </c>
      <c r="F32" s="127">
        <f t="shared" si="24"/>
        <v>180.25</v>
      </c>
      <c r="G32" s="127">
        <f t="shared" si="25"/>
        <v>204.54889391047803</v>
      </c>
      <c r="H32" s="127">
        <f t="shared" si="26"/>
        <v>204.54889391047803</v>
      </c>
      <c r="I32" s="122"/>
      <c r="J32" s="119" t="s">
        <v>12</v>
      </c>
      <c r="K32" s="134">
        <f t="shared" si="39"/>
        <v>1393</v>
      </c>
      <c r="L32" s="134">
        <f t="shared" si="27"/>
        <v>44</v>
      </c>
      <c r="M32" s="134">
        <f t="shared" si="27"/>
        <v>209</v>
      </c>
      <c r="N32" s="134">
        <f t="shared" si="27"/>
        <v>458</v>
      </c>
      <c r="O32" s="127">
        <f t="shared" si="28"/>
        <v>526</v>
      </c>
      <c r="P32" s="127">
        <f t="shared" si="29"/>
        <v>602.52966731937772</v>
      </c>
      <c r="Q32" s="127">
        <f t="shared" si="30"/>
        <v>602.52966731937772</v>
      </c>
      <c r="S32" s="119" t="s">
        <v>12</v>
      </c>
      <c r="T32" s="134">
        <f t="shared" si="40"/>
        <v>7361</v>
      </c>
      <c r="U32" s="134">
        <f t="shared" si="31"/>
        <v>7055</v>
      </c>
      <c r="V32" s="134">
        <f t="shared" si="31"/>
        <v>9825</v>
      </c>
      <c r="W32" s="134">
        <f t="shared" si="31"/>
        <v>5038</v>
      </c>
      <c r="X32" s="127">
        <f t="shared" si="32"/>
        <v>7319.75</v>
      </c>
      <c r="Y32" s="127">
        <f t="shared" si="33"/>
        <v>1962.520042360502</v>
      </c>
      <c r="Z32" s="127">
        <f t="shared" si="34"/>
        <v>1962.520042360502</v>
      </c>
      <c r="AB32" s="153" t="s">
        <v>12</v>
      </c>
      <c r="AC32" s="77">
        <f t="shared" si="41"/>
        <v>5747.6</v>
      </c>
      <c r="AD32" s="77">
        <f t="shared" si="35"/>
        <v>-341</v>
      </c>
      <c r="AE32" s="77">
        <f t="shared" si="35"/>
        <v>4500</v>
      </c>
      <c r="AF32" s="77">
        <f t="shared" si="35"/>
        <v>-5038</v>
      </c>
      <c r="AG32" s="166">
        <f t="shared" si="36"/>
        <v>1217.1500000000001</v>
      </c>
      <c r="AH32" s="167">
        <f t="shared" si="37"/>
        <v>5747.6</v>
      </c>
      <c r="AI32" s="167">
        <f t="shared" si="38"/>
        <v>-5038</v>
      </c>
    </row>
    <row r="33" spans="1:35" ht="15.75" thickBot="1" x14ac:dyDescent="0.3">
      <c r="A33" s="119" t="s">
        <v>13</v>
      </c>
      <c r="B33" s="84">
        <v>0</v>
      </c>
      <c r="C33" s="84">
        <v>41</v>
      </c>
      <c r="D33" s="67">
        <v>17</v>
      </c>
      <c r="E33" s="67"/>
      <c r="F33" s="127">
        <f t="shared" si="24"/>
        <v>19.333333333333332</v>
      </c>
      <c r="G33" s="127">
        <f t="shared" si="25"/>
        <v>20.599352740640501</v>
      </c>
      <c r="H33" s="127">
        <f t="shared" si="26"/>
        <v>20.599352740640501</v>
      </c>
      <c r="I33" s="122"/>
      <c r="J33" s="119" t="s">
        <v>13</v>
      </c>
      <c r="K33" s="134">
        <f t="shared" si="39"/>
        <v>558</v>
      </c>
      <c r="L33" s="134">
        <f t="shared" si="27"/>
        <v>41</v>
      </c>
      <c r="M33" s="134">
        <f t="shared" si="27"/>
        <v>1238</v>
      </c>
      <c r="N33" s="134"/>
      <c r="O33" s="127">
        <f t="shared" si="28"/>
        <v>612.33333333333337</v>
      </c>
      <c r="P33" s="127">
        <f t="shared" si="29"/>
        <v>600.34684419369887</v>
      </c>
      <c r="Q33" s="127">
        <f t="shared" si="30"/>
        <v>600.34684419369887</v>
      </c>
      <c r="S33" s="119" t="s">
        <v>13</v>
      </c>
      <c r="T33" s="134">
        <f>K33+B102+B52+B138</f>
        <v>6675</v>
      </c>
      <c r="U33" s="134">
        <f t="shared" si="31"/>
        <v>8281</v>
      </c>
      <c r="V33" s="134">
        <f t="shared" si="31"/>
        <v>9924</v>
      </c>
      <c r="W33" s="134">
        <f t="shared" si="31"/>
        <v>0</v>
      </c>
      <c r="X33" s="127">
        <f t="shared" si="32"/>
        <v>6220</v>
      </c>
      <c r="Y33" s="127">
        <f t="shared" si="33"/>
        <v>4353.6483551155115</v>
      </c>
      <c r="Z33" s="127">
        <f t="shared" si="34"/>
        <v>4353.6483551155115</v>
      </c>
      <c r="AB33" s="168" t="s">
        <v>13</v>
      </c>
      <c r="AC33" s="43">
        <f t="shared" si="41"/>
        <v>3259.24</v>
      </c>
      <c r="AD33" s="43">
        <f t="shared" si="35"/>
        <v>1565</v>
      </c>
      <c r="AE33" s="43">
        <f t="shared" si="35"/>
        <v>-25.079999999999927</v>
      </c>
      <c r="AF33" s="43"/>
      <c r="AG33" s="166">
        <f t="shared" si="36"/>
        <v>1599.72</v>
      </c>
      <c r="AH33" s="167">
        <f t="shared" si="37"/>
        <v>3259.24</v>
      </c>
      <c r="AI33" s="167">
        <f t="shared" si="38"/>
        <v>-25.079999999999927</v>
      </c>
    </row>
    <row r="34" spans="1:35" ht="16.5" thickTop="1" thickBot="1" x14ac:dyDescent="0.3">
      <c r="A34" s="128" t="s">
        <v>0</v>
      </c>
      <c r="B34" s="129">
        <f t="shared" ref="B34:D34" si="42">SUM(B22:B33)</f>
        <v>6982</v>
      </c>
      <c r="C34" s="129">
        <f t="shared" si="42"/>
        <v>5884</v>
      </c>
      <c r="D34" s="129">
        <f t="shared" si="42"/>
        <v>4682</v>
      </c>
      <c r="E34" s="129">
        <f>SUM(E22:E33)</f>
        <v>6336</v>
      </c>
      <c r="I34" s="122"/>
      <c r="J34" s="128" t="s">
        <v>0</v>
      </c>
      <c r="K34" s="129">
        <f t="shared" ref="K34:M34" si="43">SUM(K22:K33)</f>
        <v>185518</v>
      </c>
      <c r="L34" s="129">
        <f t="shared" si="43"/>
        <v>197122</v>
      </c>
      <c r="M34" s="129">
        <f t="shared" si="43"/>
        <v>212186</v>
      </c>
      <c r="N34" s="129">
        <f>SUM(N22:N33)</f>
        <v>211218</v>
      </c>
      <c r="S34" s="128" t="s">
        <v>0</v>
      </c>
      <c r="T34" s="129">
        <f t="shared" ref="T34:V34" si="44">SUM(T22:T33)</f>
        <v>523116</v>
      </c>
      <c r="U34" s="129">
        <f t="shared" si="44"/>
        <v>502255</v>
      </c>
      <c r="V34" s="129">
        <f t="shared" si="44"/>
        <v>473405</v>
      </c>
      <c r="W34" s="129">
        <f>SUM(W22:W33)</f>
        <v>470391</v>
      </c>
      <c r="AB34" s="169" t="s">
        <v>0</v>
      </c>
      <c r="AC34" s="170">
        <f>SUM(AC22:AC33)</f>
        <v>111372.64</v>
      </c>
      <c r="AD34" s="170">
        <f>SUM(AD22:AD33)</f>
        <v>51431.599999999962</v>
      </c>
      <c r="AE34" s="170">
        <f>SUM(AE22:AE33)</f>
        <v>11540.479999999974</v>
      </c>
      <c r="AF34" s="170">
        <f>SUM(AF22:AF33)</f>
        <v>60180.559999999954</v>
      </c>
      <c r="AG34" s="148"/>
      <c r="AH34" s="148"/>
      <c r="AI34" s="148"/>
    </row>
    <row r="35" spans="1:35" ht="15.75" thickTop="1" x14ac:dyDescent="0.25">
      <c r="A35" s="1" t="s">
        <v>14</v>
      </c>
      <c r="B35" s="1"/>
      <c r="C35" s="1"/>
      <c r="D35" s="1"/>
      <c r="E35" s="1"/>
      <c r="F35" s="1"/>
      <c r="I35" s="122"/>
      <c r="J35" s="136" t="s">
        <v>14</v>
      </c>
      <c r="K35" s="136"/>
      <c r="L35" s="136"/>
      <c r="M35" s="136"/>
      <c r="N35" s="136"/>
      <c r="O35" s="136"/>
      <c r="P35" s="136"/>
      <c r="Q35" s="136"/>
      <c r="S35" s="136" t="s">
        <v>14</v>
      </c>
      <c r="T35" s="136"/>
      <c r="U35" s="136"/>
      <c r="V35" s="136"/>
      <c r="W35" s="136"/>
      <c r="X35" s="136"/>
      <c r="Y35" s="136"/>
      <c r="Z35" s="136"/>
    </row>
    <row r="36" spans="1:35" x14ac:dyDescent="0.25">
      <c r="A36" s="130" t="s">
        <v>15</v>
      </c>
      <c r="B36" s="127">
        <f t="shared" ref="B36:H36" si="45">AVERAGE(B22:B24,B31:B33)</f>
        <v>4.5</v>
      </c>
      <c r="C36" s="127">
        <f t="shared" si="45"/>
        <v>14.166666666666666</v>
      </c>
      <c r="D36" s="127">
        <f t="shared" si="45"/>
        <v>65.166666666666671</v>
      </c>
      <c r="E36" s="127">
        <f t="shared" si="45"/>
        <v>121.8</v>
      </c>
      <c r="F36" s="127">
        <f t="shared" si="45"/>
        <v>47.138888888888886</v>
      </c>
      <c r="G36" s="127">
        <f t="shared" si="45"/>
        <v>52.59642861660695</v>
      </c>
      <c r="H36" s="127">
        <f t="shared" si="45"/>
        <v>52.59642861660695</v>
      </c>
      <c r="I36" s="127"/>
      <c r="J36" s="130" t="s">
        <v>15</v>
      </c>
      <c r="K36" s="127">
        <f t="shared" ref="K36:Q36" si="46">AVERAGE(K22:K24,K31:K33)</f>
        <v>839.5</v>
      </c>
      <c r="L36" s="127">
        <f t="shared" si="46"/>
        <v>565.16666666666663</v>
      </c>
      <c r="M36" s="127">
        <f t="shared" si="46"/>
        <v>1465.1666666666667</v>
      </c>
      <c r="N36" s="127">
        <f t="shared" si="46"/>
        <v>1694.4</v>
      </c>
      <c r="O36" s="127">
        <f t="shared" si="46"/>
        <v>1095.9722222222222</v>
      </c>
      <c r="P36" s="127">
        <f t="shared" si="46"/>
        <v>733.41411489271411</v>
      </c>
      <c r="Q36" s="127">
        <f t="shared" si="46"/>
        <v>733.41411489271411</v>
      </c>
      <c r="S36" s="130" t="s">
        <v>15</v>
      </c>
      <c r="T36" s="127">
        <f t="shared" ref="T36:Z36" si="47">AVERAGE(T22:T24,T31:T33)</f>
        <v>8162.833333333333</v>
      </c>
      <c r="U36" s="127">
        <f t="shared" si="47"/>
        <v>8485.8333333333339</v>
      </c>
      <c r="V36" s="127">
        <f t="shared" si="47"/>
        <v>9811.1666666666661</v>
      </c>
      <c r="W36" s="127">
        <f t="shared" si="47"/>
        <v>9141.1666666666661</v>
      </c>
      <c r="X36" s="127">
        <f t="shared" si="47"/>
        <v>8900.25</v>
      </c>
      <c r="Y36" s="127">
        <f t="shared" si="47"/>
        <v>2394.6982627479615</v>
      </c>
      <c r="Z36" s="127">
        <f t="shared" si="47"/>
        <v>2394.6982627479615</v>
      </c>
    </row>
    <row r="37" spans="1:35" x14ac:dyDescent="0.25">
      <c r="A37" s="130" t="s">
        <v>16</v>
      </c>
      <c r="B37" s="127">
        <f t="shared" ref="B37:H37" si="48">AVERAGE(B25:B30)</f>
        <v>1159.1666666666667</v>
      </c>
      <c r="C37" s="127">
        <f t="shared" si="48"/>
        <v>966.5</v>
      </c>
      <c r="D37" s="127">
        <f t="shared" si="48"/>
        <v>715.16666666666663</v>
      </c>
      <c r="E37" s="127">
        <f t="shared" si="48"/>
        <v>954.5</v>
      </c>
      <c r="F37" s="127">
        <f t="shared" si="48"/>
        <v>948.83333333333337</v>
      </c>
      <c r="G37" s="127">
        <f t="shared" si="48"/>
        <v>324.23435798928148</v>
      </c>
      <c r="H37" s="127">
        <f t="shared" si="48"/>
        <v>324.23435798928148</v>
      </c>
      <c r="I37" s="127"/>
      <c r="J37" s="130" t="s">
        <v>16</v>
      </c>
      <c r="K37" s="127">
        <f t="shared" ref="K37:Q37" si="49">AVERAGE(K25:K30)</f>
        <v>30080.166666666668</v>
      </c>
      <c r="L37" s="127">
        <f t="shared" si="49"/>
        <v>32288.5</v>
      </c>
      <c r="M37" s="127">
        <f t="shared" si="49"/>
        <v>33899.166666666664</v>
      </c>
      <c r="N37" s="127">
        <f t="shared" si="49"/>
        <v>33791</v>
      </c>
      <c r="O37" s="127">
        <f t="shared" si="49"/>
        <v>32514.708333333332</v>
      </c>
      <c r="P37" s="127">
        <f t="shared" si="49"/>
        <v>4893.541131889905</v>
      </c>
      <c r="Q37" s="127">
        <f t="shared" si="49"/>
        <v>4893.541131889905</v>
      </c>
      <c r="S37" s="130" t="s">
        <v>16</v>
      </c>
      <c r="T37" s="127">
        <f t="shared" ref="T37:Z37" si="50">AVERAGE(T25:T30)</f>
        <v>79023.166666666672</v>
      </c>
      <c r="U37" s="127">
        <f t="shared" si="50"/>
        <v>75223.333333333328</v>
      </c>
      <c r="V37" s="127">
        <f t="shared" si="50"/>
        <v>69089.666666666672</v>
      </c>
      <c r="W37" s="127">
        <f t="shared" si="50"/>
        <v>69257.333333333328</v>
      </c>
      <c r="X37" s="127">
        <f t="shared" si="50"/>
        <v>73148.375</v>
      </c>
      <c r="Y37" s="127">
        <f t="shared" si="50"/>
        <v>9348.0499734863661</v>
      </c>
      <c r="Z37" s="127">
        <f t="shared" si="50"/>
        <v>9348.0499734863661</v>
      </c>
    </row>
    <row r="38" spans="1:35" ht="15.75" thickBot="1" x14ac:dyDescent="0.3"/>
    <row r="39" spans="1:35" ht="17.25" thickTop="1" thickBot="1" x14ac:dyDescent="0.3">
      <c r="A39" s="140" t="s">
        <v>200</v>
      </c>
      <c r="B39" s="141"/>
      <c r="C39" s="141"/>
      <c r="D39" s="141"/>
      <c r="E39" s="141"/>
      <c r="F39" s="142"/>
      <c r="AB39" s="140" t="s">
        <v>249</v>
      </c>
      <c r="AC39" s="141"/>
      <c r="AD39" s="141"/>
      <c r="AE39" s="141"/>
      <c r="AF39" s="141"/>
    </row>
    <row r="40" spans="1:35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AB40" s="124"/>
      <c r="AC40" s="125">
        <v>2014</v>
      </c>
      <c r="AD40" s="125">
        <v>2015</v>
      </c>
      <c r="AE40" s="125">
        <v>2016</v>
      </c>
      <c r="AF40" s="125">
        <v>2017</v>
      </c>
    </row>
    <row r="41" spans="1:35" x14ac:dyDescent="0.25">
      <c r="A41" s="119" t="s">
        <v>2</v>
      </c>
      <c r="B41" s="84">
        <v>3092</v>
      </c>
      <c r="C41" s="84">
        <v>3868</v>
      </c>
      <c r="D41" s="84">
        <v>2824</v>
      </c>
      <c r="E41" s="84">
        <v>4914</v>
      </c>
      <c r="AB41" s="119" t="s">
        <v>2</v>
      </c>
      <c r="AC41" s="77">
        <f>-1*AC22</f>
        <v>1913</v>
      </c>
      <c r="AD41" s="77">
        <f t="shared" ref="AD41:AF41" si="51">-1*AD22</f>
        <v>1288.4400000000005</v>
      </c>
      <c r="AE41" s="77">
        <f t="shared" si="51"/>
        <v>-7313</v>
      </c>
      <c r="AF41" s="77">
        <f t="shared" si="51"/>
        <v>1591.04</v>
      </c>
    </row>
    <row r="42" spans="1:35" x14ac:dyDescent="0.25">
      <c r="A42" s="119" t="s">
        <v>3</v>
      </c>
      <c r="B42" s="84">
        <v>4710</v>
      </c>
      <c r="C42" s="84">
        <v>5557</v>
      </c>
      <c r="D42" s="84">
        <v>4355</v>
      </c>
      <c r="E42" s="84">
        <v>5831</v>
      </c>
      <c r="AB42" s="119" t="s">
        <v>3</v>
      </c>
      <c r="AC42" s="77">
        <f t="shared" ref="AC42:AF52" si="52">-1*AC23</f>
        <v>-1172.5599999999995</v>
      </c>
      <c r="AD42" s="77">
        <f t="shared" si="52"/>
        <v>-2778.24</v>
      </c>
      <c r="AE42" s="77">
        <f t="shared" si="52"/>
        <v>3436</v>
      </c>
      <c r="AF42" s="77">
        <f t="shared" si="52"/>
        <v>3510.6399999999994</v>
      </c>
    </row>
    <row r="43" spans="1:35" x14ac:dyDescent="0.25">
      <c r="A43" s="119" t="s">
        <v>4</v>
      </c>
      <c r="B43" s="84">
        <v>4547</v>
      </c>
      <c r="C43" s="84">
        <v>5026</v>
      </c>
      <c r="D43" s="84">
        <v>5918</v>
      </c>
      <c r="E43" s="84">
        <v>6762</v>
      </c>
      <c r="AB43" s="119" t="s">
        <v>4</v>
      </c>
      <c r="AC43" s="77">
        <f t="shared" si="52"/>
        <v>5477</v>
      </c>
      <c r="AD43" s="77">
        <f t="shared" si="52"/>
        <v>2608.88</v>
      </c>
      <c r="AE43" s="77">
        <f t="shared" si="52"/>
        <v>3508</v>
      </c>
      <c r="AF43" s="77">
        <f t="shared" si="52"/>
        <v>7796</v>
      </c>
    </row>
    <row r="44" spans="1:35" x14ac:dyDescent="0.25">
      <c r="A44" s="119" t="s">
        <v>5</v>
      </c>
      <c r="B44" s="84">
        <v>6580</v>
      </c>
      <c r="C44" s="84">
        <v>6834</v>
      </c>
      <c r="D44" s="84">
        <v>9043</v>
      </c>
      <c r="E44" s="84">
        <v>7769</v>
      </c>
      <c r="AB44" s="119" t="s">
        <v>5</v>
      </c>
      <c r="AC44" s="77">
        <f t="shared" si="52"/>
        <v>-331.04000000000087</v>
      </c>
      <c r="AD44" s="77">
        <f t="shared" si="52"/>
        <v>2111.2400000000016</v>
      </c>
      <c r="AE44" s="77">
        <f t="shared" si="52"/>
        <v>1724.1600000000035</v>
      </c>
      <c r="AF44" s="77">
        <f t="shared" si="52"/>
        <v>-1390.2799999999988</v>
      </c>
    </row>
    <row r="45" spans="1:35" x14ac:dyDescent="0.25">
      <c r="A45" s="119" t="s">
        <v>6</v>
      </c>
      <c r="B45" s="84">
        <v>7131</v>
      </c>
      <c r="C45" s="84">
        <v>6520</v>
      </c>
      <c r="D45" s="84">
        <v>8497</v>
      </c>
      <c r="E45" s="84">
        <v>8499</v>
      </c>
      <c r="AB45" s="119" t="s">
        <v>6</v>
      </c>
      <c r="AC45" s="77">
        <f t="shared" si="52"/>
        <v>-544.36000000000058</v>
      </c>
      <c r="AD45" s="77">
        <f t="shared" si="52"/>
        <v>3165.5200000000004</v>
      </c>
      <c r="AE45" s="77">
        <f t="shared" si="52"/>
        <v>9972.08</v>
      </c>
      <c r="AF45" s="77">
        <f t="shared" si="52"/>
        <v>351.68000000000029</v>
      </c>
    </row>
    <row r="46" spans="1:35" x14ac:dyDescent="0.25">
      <c r="A46" s="119" t="s">
        <v>7</v>
      </c>
      <c r="B46" s="84">
        <v>6463</v>
      </c>
      <c r="C46" s="84">
        <v>8228</v>
      </c>
      <c r="D46" s="84">
        <v>10805</v>
      </c>
      <c r="E46" s="84">
        <v>9107</v>
      </c>
      <c r="AB46" s="119" t="s">
        <v>7</v>
      </c>
      <c r="AC46" s="77">
        <f t="shared" si="52"/>
        <v>-16219.919999999998</v>
      </c>
      <c r="AD46" s="77">
        <f t="shared" si="52"/>
        <v>-11994.400000000001</v>
      </c>
      <c r="AE46" s="77">
        <f t="shared" si="52"/>
        <v>5795.2400000000052</v>
      </c>
      <c r="AF46" s="77">
        <f t="shared" si="52"/>
        <v>449.92000000000553</v>
      </c>
    </row>
    <row r="47" spans="1:35" x14ac:dyDescent="0.25">
      <c r="A47" s="119" t="s">
        <v>8</v>
      </c>
      <c r="B47" s="84">
        <v>5082</v>
      </c>
      <c r="C47" s="84">
        <v>9614</v>
      </c>
      <c r="D47" s="84">
        <v>10378</v>
      </c>
      <c r="E47" s="84">
        <v>10415</v>
      </c>
      <c r="AB47" s="119" t="s">
        <v>8</v>
      </c>
      <c r="AC47" s="77">
        <f t="shared" si="52"/>
        <v>-68464.919999999984</v>
      </c>
      <c r="AD47" s="77">
        <f t="shared" si="52"/>
        <v>-32730.039999999979</v>
      </c>
      <c r="AE47" s="77">
        <f t="shared" si="52"/>
        <v>-13620.319999999992</v>
      </c>
      <c r="AF47" s="77">
        <f t="shared" si="52"/>
        <v>-42646.599999999977</v>
      </c>
    </row>
    <row r="48" spans="1:35" x14ac:dyDescent="0.25">
      <c r="A48" s="119" t="s">
        <v>9</v>
      </c>
      <c r="B48" s="84">
        <v>6940</v>
      </c>
      <c r="C48" s="84">
        <v>8664</v>
      </c>
      <c r="D48" s="84">
        <v>9439</v>
      </c>
      <c r="E48" s="84">
        <v>10989</v>
      </c>
      <c r="AB48" s="119" t="s">
        <v>9</v>
      </c>
      <c r="AC48" s="77">
        <f t="shared" si="52"/>
        <v>-20876</v>
      </c>
      <c r="AD48" s="77">
        <f t="shared" si="52"/>
        <v>-21332.959999999992</v>
      </c>
      <c r="AE48" s="77">
        <f t="shared" si="52"/>
        <v>-16226.119999999995</v>
      </c>
      <c r="AF48" s="77">
        <f t="shared" si="52"/>
        <v>-39961.199999999983</v>
      </c>
    </row>
    <row r="49" spans="1:33" x14ac:dyDescent="0.25">
      <c r="A49" s="119" t="s">
        <v>10</v>
      </c>
      <c r="B49" s="84">
        <v>6765</v>
      </c>
      <c r="C49" s="84">
        <v>7614</v>
      </c>
      <c r="D49" s="84">
        <v>8346</v>
      </c>
      <c r="E49" s="84">
        <v>9188</v>
      </c>
      <c r="AB49" s="119" t="s">
        <v>10</v>
      </c>
      <c r="AC49" s="77">
        <f t="shared" si="52"/>
        <v>-5804.1199999999953</v>
      </c>
      <c r="AD49" s="77">
        <f t="shared" si="52"/>
        <v>-2276.8799999999974</v>
      </c>
      <c r="AE49" s="77">
        <f t="shared" si="52"/>
        <v>-3913.5599999999977</v>
      </c>
      <c r="AF49" s="77">
        <f t="shared" si="52"/>
        <v>-4940.9199999999983</v>
      </c>
    </row>
    <row r="50" spans="1:33" x14ac:dyDescent="0.25">
      <c r="A50" s="119" t="s">
        <v>11</v>
      </c>
      <c r="B50" s="84">
        <v>6837</v>
      </c>
      <c r="C50" s="84">
        <v>7241</v>
      </c>
      <c r="D50" s="84">
        <v>7871</v>
      </c>
      <c r="E50" s="84">
        <v>8577</v>
      </c>
      <c r="AB50" s="119" t="s">
        <v>11</v>
      </c>
      <c r="AC50" s="77">
        <f t="shared" si="52"/>
        <v>3657.1200000000008</v>
      </c>
      <c r="AD50" s="77">
        <f t="shared" si="52"/>
        <v>11730.84</v>
      </c>
      <c r="AE50" s="77">
        <f t="shared" si="52"/>
        <v>9571.9600000000009</v>
      </c>
      <c r="AF50" s="77">
        <f t="shared" si="52"/>
        <v>10021.16</v>
      </c>
    </row>
    <row r="51" spans="1:33" x14ac:dyDescent="0.25">
      <c r="A51" s="119" t="s">
        <v>12</v>
      </c>
      <c r="B51" s="84">
        <v>3952</v>
      </c>
      <c r="C51" s="84">
        <v>3132</v>
      </c>
      <c r="D51" s="84">
        <v>6058</v>
      </c>
      <c r="E51" s="113">
        <v>4580</v>
      </c>
      <c r="AB51" s="119" t="s">
        <v>12</v>
      </c>
      <c r="AC51" s="77">
        <f t="shared" si="52"/>
        <v>-5747.6</v>
      </c>
      <c r="AD51" s="77">
        <f t="shared" si="52"/>
        <v>341</v>
      </c>
      <c r="AE51" s="77">
        <f t="shared" si="52"/>
        <v>-4500</v>
      </c>
      <c r="AF51" s="77"/>
    </row>
    <row r="52" spans="1:33" ht="15.75" thickBot="1" x14ac:dyDescent="0.3">
      <c r="A52" s="119" t="s">
        <v>13</v>
      </c>
      <c r="B52" s="84">
        <v>3870</v>
      </c>
      <c r="C52" s="84">
        <v>4235</v>
      </c>
      <c r="D52" s="84">
        <v>4909</v>
      </c>
      <c r="E52" s="84"/>
      <c r="AB52" s="139" t="s">
        <v>13</v>
      </c>
      <c r="AC52" s="43">
        <f t="shared" si="52"/>
        <v>-3259.24</v>
      </c>
      <c r="AD52" s="43">
        <f t="shared" si="52"/>
        <v>-1565</v>
      </c>
      <c r="AE52" s="43">
        <f t="shared" si="52"/>
        <v>25.079999999999927</v>
      </c>
      <c r="AF52" s="43"/>
    </row>
    <row r="53" spans="1:33" ht="16.5" thickTop="1" thickBot="1" x14ac:dyDescent="0.3">
      <c r="A53" s="128" t="s">
        <v>0</v>
      </c>
      <c r="B53" s="129">
        <f t="shared" ref="B53:D53" si="53">SUM(B41:B52)</f>
        <v>65969</v>
      </c>
      <c r="C53" s="129">
        <f t="shared" si="53"/>
        <v>76533</v>
      </c>
      <c r="D53" s="129">
        <f t="shared" si="53"/>
        <v>88443</v>
      </c>
      <c r="E53" s="129">
        <f>SUM(E41:E52)</f>
        <v>86631</v>
      </c>
      <c r="AB53" s="138" t="s">
        <v>0</v>
      </c>
      <c r="AC53" s="170">
        <f>SUM(AC41:AC52)</f>
        <v>-111372.64</v>
      </c>
      <c r="AD53" s="170">
        <f>SUM(AD41:AD52)</f>
        <v>-51431.599999999962</v>
      </c>
      <c r="AE53" s="170">
        <f>SUM(AE41:AE52)</f>
        <v>-11540.479999999974</v>
      </c>
      <c r="AF53" s="170">
        <f>SUM(AF41:AF52)</f>
        <v>-65218.559999999954</v>
      </c>
    </row>
    <row r="54" spans="1:33" ht="15.75" thickTop="1" x14ac:dyDescent="0.25"/>
    <row r="55" spans="1:33" ht="15.75" thickBot="1" x14ac:dyDescent="0.3"/>
    <row r="56" spans="1:33" ht="17.25" thickTop="1" thickBot="1" x14ac:dyDescent="0.3">
      <c r="A56" s="140" t="s">
        <v>79</v>
      </c>
      <c r="B56" s="141"/>
      <c r="C56" s="141"/>
      <c r="D56" s="141"/>
      <c r="E56" s="141"/>
      <c r="J56" s="140" t="s">
        <v>211</v>
      </c>
      <c r="K56" s="141"/>
      <c r="L56" s="141"/>
      <c r="M56" s="141"/>
      <c r="N56" s="141"/>
      <c r="O56" s="142"/>
      <c r="S56" s="149" t="s">
        <v>172</v>
      </c>
      <c r="T56" s="164"/>
      <c r="U56" s="164"/>
      <c r="V56" s="164"/>
      <c r="W56" s="164"/>
      <c r="X56" s="150"/>
      <c r="Y56" s="148"/>
      <c r="Z56" s="148"/>
      <c r="AC56" s="140" t="s">
        <v>248</v>
      </c>
      <c r="AD56" s="141"/>
      <c r="AE56" s="141"/>
      <c r="AF56" s="141"/>
      <c r="AG56" s="141"/>
    </row>
    <row r="57" spans="1:33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  <c r="J57" s="124"/>
      <c r="K57" s="125">
        <v>2014</v>
      </c>
      <c r="L57" s="125">
        <v>2015</v>
      </c>
      <c r="M57" s="125">
        <v>2016</v>
      </c>
      <c r="N57" s="125">
        <v>2017</v>
      </c>
      <c r="O57" s="126" t="s">
        <v>1</v>
      </c>
      <c r="P57" s="117" t="s">
        <v>18</v>
      </c>
      <c r="Q57" s="117" t="s">
        <v>17</v>
      </c>
      <c r="S57" s="151"/>
      <c r="T57" s="147">
        <v>2014</v>
      </c>
      <c r="U57" s="147">
        <v>2015</v>
      </c>
      <c r="V57" s="147">
        <v>2016</v>
      </c>
      <c r="W57" s="147">
        <v>2017</v>
      </c>
      <c r="X57" s="152" t="s">
        <v>1</v>
      </c>
      <c r="Y57" s="165" t="s">
        <v>18</v>
      </c>
      <c r="Z57" s="165" t="s">
        <v>17</v>
      </c>
      <c r="AC57" s="124"/>
      <c r="AD57" s="125">
        <v>2014</v>
      </c>
      <c r="AE57" s="125">
        <v>2015</v>
      </c>
      <c r="AF57" s="125">
        <v>2016</v>
      </c>
      <c r="AG57" s="125">
        <v>2017</v>
      </c>
    </row>
    <row r="58" spans="1:33" x14ac:dyDescent="0.25">
      <c r="A58" s="119" t="s">
        <v>2</v>
      </c>
      <c r="B58" s="84">
        <f t="shared" ref="B58:E69" si="54">B22+B41</f>
        <v>3092</v>
      </c>
      <c r="C58" s="84">
        <f t="shared" si="54"/>
        <v>3868</v>
      </c>
      <c r="D58" s="84">
        <f t="shared" si="54"/>
        <v>2881</v>
      </c>
      <c r="E58" s="84">
        <f t="shared" si="54"/>
        <v>4958</v>
      </c>
      <c r="J58" s="119" t="s">
        <v>2</v>
      </c>
      <c r="K58" s="134">
        <f>B74+B91+B127</f>
        <v>1107</v>
      </c>
      <c r="L58" s="134">
        <f t="shared" ref="L58:N69" si="55">C74+C91+C127</f>
        <v>1866</v>
      </c>
      <c r="M58" s="134">
        <f t="shared" si="55"/>
        <v>1491</v>
      </c>
      <c r="N58" s="134">
        <f t="shared" si="55"/>
        <v>3210</v>
      </c>
      <c r="O58" s="127">
        <f t="shared" ref="O58:O69" si="56">AVERAGE(K58:N58)</f>
        <v>1918.5</v>
      </c>
      <c r="P58" s="127">
        <f t="shared" ref="P58:P69" si="57">STDEVA(K58:N58)</f>
        <v>915.06229296152287</v>
      </c>
      <c r="Q58" s="127">
        <f t="shared" ref="Q58:Q69" si="58">STDEVA(K58:N58)</f>
        <v>915.06229296152287</v>
      </c>
      <c r="S58" s="153" t="s">
        <v>2</v>
      </c>
      <c r="T58" s="77">
        <f>(B108+B144)-K58</f>
        <v>1179</v>
      </c>
      <c r="U58" s="77">
        <f t="shared" ref="U58:W69" si="59">(C108+C144)-L58</f>
        <v>1275.56</v>
      </c>
      <c r="V58" s="77">
        <f t="shared" si="59"/>
        <v>10194</v>
      </c>
      <c r="W58" s="77">
        <f t="shared" si="59"/>
        <v>3026.5599999999995</v>
      </c>
      <c r="X58" s="166">
        <f t="shared" ref="X58:X69" si="60">AVERAGE(T58:W58)</f>
        <v>3918.7799999999997</v>
      </c>
      <c r="Y58" s="167">
        <f t="shared" ref="Y58:Y69" si="61">MAX(T58:W58)</f>
        <v>10194</v>
      </c>
      <c r="Z58" s="167">
        <f t="shared" ref="Z58:Z69" si="62">MIN(T58:W58)</f>
        <v>1179</v>
      </c>
      <c r="AC58" s="119" t="s">
        <v>2</v>
      </c>
      <c r="AD58" s="77">
        <f>-1*T58</f>
        <v>-1179</v>
      </c>
      <c r="AE58" s="77">
        <f t="shared" ref="AE58:AG69" si="63">-1*U58</f>
        <v>-1275.56</v>
      </c>
      <c r="AF58" s="77">
        <f t="shared" si="63"/>
        <v>-10194</v>
      </c>
      <c r="AG58" s="77">
        <f t="shared" si="63"/>
        <v>-3026.5599999999995</v>
      </c>
    </row>
    <row r="59" spans="1:33" x14ac:dyDescent="0.25">
      <c r="A59" s="119" t="s">
        <v>3</v>
      </c>
      <c r="B59" s="84">
        <f t="shared" si="54"/>
        <v>4710</v>
      </c>
      <c r="C59" s="84">
        <f t="shared" si="54"/>
        <v>5557</v>
      </c>
      <c r="D59" s="84">
        <f t="shared" si="54"/>
        <v>4390</v>
      </c>
      <c r="E59" s="84">
        <f t="shared" si="54"/>
        <v>5860</v>
      </c>
      <c r="J59" s="119" t="s">
        <v>3</v>
      </c>
      <c r="K59" s="134">
        <f t="shared" ref="K59:K69" si="64">B75+B92+B128</f>
        <v>2457</v>
      </c>
      <c r="L59" s="134">
        <f t="shared" si="55"/>
        <v>3123</v>
      </c>
      <c r="M59" s="134">
        <f t="shared" si="55"/>
        <v>2421</v>
      </c>
      <c r="N59" s="134">
        <f t="shared" si="55"/>
        <v>3690</v>
      </c>
      <c r="O59" s="127">
        <f t="shared" si="56"/>
        <v>2922.75</v>
      </c>
      <c r="P59" s="127">
        <f t="shared" si="57"/>
        <v>604.82745473399268</v>
      </c>
      <c r="Q59" s="127">
        <f t="shared" si="58"/>
        <v>604.82745473399268</v>
      </c>
      <c r="S59" s="153" t="s">
        <v>3</v>
      </c>
      <c r="T59" s="77">
        <f t="shared" ref="T59:T69" si="65">(B109+B145)-K59</f>
        <v>4578.5599999999995</v>
      </c>
      <c r="U59" s="77">
        <f t="shared" si="59"/>
        <v>3119.24</v>
      </c>
      <c r="V59" s="77">
        <f t="shared" si="59"/>
        <v>954</v>
      </c>
      <c r="W59" s="77">
        <f t="shared" si="59"/>
        <v>1328.5599999999995</v>
      </c>
      <c r="X59" s="166">
        <f t="shared" si="60"/>
        <v>2495.0899999999997</v>
      </c>
      <c r="Y59" s="167">
        <f t="shared" si="61"/>
        <v>4578.5599999999995</v>
      </c>
      <c r="Z59" s="167">
        <f t="shared" si="62"/>
        <v>954</v>
      </c>
      <c r="AC59" s="119" t="s">
        <v>3</v>
      </c>
      <c r="AD59" s="77">
        <f t="shared" ref="AD59:AD69" si="66">-1*T59</f>
        <v>-4578.5599999999995</v>
      </c>
      <c r="AE59" s="77">
        <f t="shared" si="63"/>
        <v>-3119.24</v>
      </c>
      <c r="AF59" s="77">
        <f t="shared" si="63"/>
        <v>-954</v>
      </c>
      <c r="AG59" s="77">
        <f t="shared" si="63"/>
        <v>-1328.5599999999995</v>
      </c>
    </row>
    <row r="60" spans="1:33" x14ac:dyDescent="0.25">
      <c r="A60" s="119" t="s">
        <v>4</v>
      </c>
      <c r="B60" s="84">
        <f t="shared" si="54"/>
        <v>4547</v>
      </c>
      <c r="C60" s="84">
        <f t="shared" si="54"/>
        <v>5026</v>
      </c>
      <c r="D60" s="84">
        <f t="shared" si="54"/>
        <v>5938</v>
      </c>
      <c r="E60" s="84">
        <f t="shared" si="54"/>
        <v>6801</v>
      </c>
      <c r="J60" s="119" t="s">
        <v>4</v>
      </c>
      <c r="K60" s="134">
        <f t="shared" si="64"/>
        <v>3216</v>
      </c>
      <c r="L60" s="134">
        <f t="shared" si="55"/>
        <v>1788</v>
      </c>
      <c r="M60" s="134">
        <f t="shared" si="55"/>
        <v>2046</v>
      </c>
      <c r="N60" s="134">
        <f t="shared" si="55"/>
        <v>3249</v>
      </c>
      <c r="O60" s="127">
        <f t="shared" si="56"/>
        <v>2574.75</v>
      </c>
      <c r="P60" s="127">
        <f t="shared" si="57"/>
        <v>766.89128955804415</v>
      </c>
      <c r="Q60" s="127">
        <f t="shared" si="58"/>
        <v>766.89128955804415</v>
      </c>
      <c r="S60" s="153" t="s">
        <v>4</v>
      </c>
      <c r="T60" s="77">
        <f t="shared" si="65"/>
        <v>-930</v>
      </c>
      <c r="U60" s="77">
        <f t="shared" si="59"/>
        <v>-190.88000000000011</v>
      </c>
      <c r="V60" s="77">
        <f t="shared" si="59"/>
        <v>2430</v>
      </c>
      <c r="W60" s="77">
        <f t="shared" si="59"/>
        <v>-995</v>
      </c>
      <c r="X60" s="166">
        <f t="shared" si="60"/>
        <v>78.529999999999973</v>
      </c>
      <c r="Y60" s="167">
        <f t="shared" si="61"/>
        <v>2430</v>
      </c>
      <c r="Z60" s="167">
        <f t="shared" si="62"/>
        <v>-995</v>
      </c>
      <c r="AC60" s="119" t="s">
        <v>4</v>
      </c>
      <c r="AD60" s="77">
        <f t="shared" si="66"/>
        <v>930</v>
      </c>
      <c r="AE60" s="77">
        <f t="shared" si="63"/>
        <v>190.88000000000011</v>
      </c>
      <c r="AF60" s="77">
        <f t="shared" si="63"/>
        <v>-2430</v>
      </c>
      <c r="AG60" s="77">
        <f t="shared" si="63"/>
        <v>995</v>
      </c>
    </row>
    <row r="61" spans="1:33" x14ac:dyDescent="0.25">
      <c r="A61" s="119" t="s">
        <v>5</v>
      </c>
      <c r="B61" s="84">
        <f t="shared" si="54"/>
        <v>6744</v>
      </c>
      <c r="C61" s="84">
        <f t="shared" si="54"/>
        <v>6892</v>
      </c>
      <c r="D61" s="84">
        <f t="shared" si="54"/>
        <v>9354</v>
      </c>
      <c r="E61" s="84">
        <f t="shared" si="54"/>
        <v>7813</v>
      </c>
      <c r="J61" s="119" t="s">
        <v>5</v>
      </c>
      <c r="K61" s="134">
        <f t="shared" si="64"/>
        <v>13227</v>
      </c>
      <c r="L61" s="134">
        <f t="shared" si="55"/>
        <v>10215</v>
      </c>
      <c r="M61" s="134">
        <f t="shared" si="55"/>
        <v>18090</v>
      </c>
      <c r="N61" s="134">
        <f t="shared" si="55"/>
        <v>17571</v>
      </c>
      <c r="O61" s="127">
        <f t="shared" si="56"/>
        <v>14775.75</v>
      </c>
      <c r="P61" s="127">
        <f t="shared" si="57"/>
        <v>3741.5122945140779</v>
      </c>
      <c r="Q61" s="127">
        <f t="shared" si="58"/>
        <v>3741.5122945140779</v>
      </c>
      <c r="S61" s="153" t="s">
        <v>5</v>
      </c>
      <c r="T61" s="77">
        <f t="shared" si="65"/>
        <v>3257.4399999999987</v>
      </c>
      <c r="U61" s="77">
        <f t="shared" si="59"/>
        <v>1906.7599999999984</v>
      </c>
      <c r="V61" s="77">
        <f t="shared" si="59"/>
        <v>786.23999999999796</v>
      </c>
      <c r="W61" s="77">
        <f t="shared" si="59"/>
        <v>3104.8799999999974</v>
      </c>
      <c r="X61" s="166">
        <f t="shared" si="60"/>
        <v>2263.8299999999981</v>
      </c>
      <c r="Y61" s="167">
        <f t="shared" si="61"/>
        <v>3257.4399999999987</v>
      </c>
      <c r="Z61" s="167">
        <f t="shared" si="62"/>
        <v>786.23999999999796</v>
      </c>
      <c r="AC61" s="119" t="s">
        <v>5</v>
      </c>
      <c r="AD61" s="77">
        <f t="shared" si="66"/>
        <v>-3257.4399999999987</v>
      </c>
      <c r="AE61" s="77">
        <f t="shared" si="63"/>
        <v>-1906.7599999999984</v>
      </c>
      <c r="AF61" s="77">
        <f t="shared" si="63"/>
        <v>-786.23999999999796</v>
      </c>
      <c r="AG61" s="77">
        <f t="shared" si="63"/>
        <v>-3104.8799999999974</v>
      </c>
    </row>
    <row r="62" spans="1:33" x14ac:dyDescent="0.25">
      <c r="A62" s="119" t="s">
        <v>6</v>
      </c>
      <c r="B62" s="84">
        <f t="shared" si="54"/>
        <v>7350</v>
      </c>
      <c r="C62" s="84">
        <f t="shared" si="54"/>
        <v>6692</v>
      </c>
      <c r="D62" s="84">
        <f t="shared" si="54"/>
        <v>8594</v>
      </c>
      <c r="E62" s="84">
        <f t="shared" si="54"/>
        <v>8601</v>
      </c>
      <c r="J62" s="119" t="s">
        <v>6</v>
      </c>
      <c r="K62" s="134">
        <f t="shared" si="64"/>
        <v>28794</v>
      </c>
      <c r="L62" s="134">
        <f t="shared" si="55"/>
        <v>18111</v>
      </c>
      <c r="M62" s="134">
        <f t="shared" si="55"/>
        <v>15528</v>
      </c>
      <c r="N62" s="134">
        <f t="shared" si="55"/>
        <v>23211</v>
      </c>
      <c r="O62" s="127">
        <f t="shared" si="56"/>
        <v>21411</v>
      </c>
      <c r="P62" s="127">
        <f t="shared" si="57"/>
        <v>5866.5258884624382</v>
      </c>
      <c r="Q62" s="127">
        <f t="shared" si="58"/>
        <v>5866.5258884624382</v>
      </c>
      <c r="S62" s="153" t="s">
        <v>6</v>
      </c>
      <c r="T62" s="77">
        <f t="shared" si="65"/>
        <v>2824.5999999999985</v>
      </c>
      <c r="U62" s="77">
        <f t="shared" si="59"/>
        <v>-218.4800000000032</v>
      </c>
      <c r="V62" s="77">
        <f t="shared" si="59"/>
        <v>-3891.84</v>
      </c>
      <c r="W62" s="77">
        <f t="shared" si="59"/>
        <v>1696.5999999999985</v>
      </c>
      <c r="X62" s="166">
        <f t="shared" si="60"/>
        <v>102.71999999999844</v>
      </c>
      <c r="Y62" s="167">
        <f t="shared" si="61"/>
        <v>2824.5999999999985</v>
      </c>
      <c r="Z62" s="167">
        <f t="shared" si="62"/>
        <v>-3891.84</v>
      </c>
      <c r="AC62" s="119" t="s">
        <v>6</v>
      </c>
      <c r="AD62" s="77">
        <f t="shared" si="66"/>
        <v>-2824.5999999999985</v>
      </c>
      <c r="AE62" s="77">
        <f t="shared" si="63"/>
        <v>218.4800000000032</v>
      </c>
      <c r="AF62" s="77">
        <f t="shared" si="63"/>
        <v>3891.84</v>
      </c>
      <c r="AG62" s="77">
        <f t="shared" si="63"/>
        <v>-1696.5999999999985</v>
      </c>
    </row>
    <row r="63" spans="1:33" x14ac:dyDescent="0.25">
      <c r="A63" s="119" t="s">
        <v>7</v>
      </c>
      <c r="B63" s="84">
        <f t="shared" si="54"/>
        <v>7037</v>
      </c>
      <c r="C63" s="84">
        <f t="shared" si="54"/>
        <v>8854</v>
      </c>
      <c r="D63" s="84">
        <f t="shared" si="54"/>
        <v>11880</v>
      </c>
      <c r="E63" s="84">
        <f t="shared" si="54"/>
        <v>9985</v>
      </c>
      <c r="J63" s="119" t="s">
        <v>7</v>
      </c>
      <c r="K63" s="134">
        <f t="shared" si="64"/>
        <v>39951</v>
      </c>
      <c r="L63" s="134">
        <f t="shared" si="55"/>
        <v>31335</v>
      </c>
      <c r="M63" s="134">
        <f t="shared" si="55"/>
        <v>33954</v>
      </c>
      <c r="N63" s="134">
        <f t="shared" si="55"/>
        <v>40923</v>
      </c>
      <c r="O63" s="127">
        <f t="shared" si="56"/>
        <v>36540.75</v>
      </c>
      <c r="P63" s="127">
        <f t="shared" si="57"/>
        <v>4641.3011376121676</v>
      </c>
      <c r="Q63" s="127">
        <f t="shared" si="58"/>
        <v>4641.3011376121676</v>
      </c>
      <c r="S63" s="153" t="s">
        <v>7</v>
      </c>
      <c r="T63" s="77">
        <f t="shared" si="65"/>
        <v>18162.919999999998</v>
      </c>
      <c r="U63" s="77">
        <f t="shared" si="59"/>
        <v>14234</v>
      </c>
      <c r="V63" s="77">
        <f t="shared" si="59"/>
        <v>-1581.3200000000033</v>
      </c>
      <c r="W63" s="77">
        <f t="shared" si="59"/>
        <v>3135.9599999999919</v>
      </c>
      <c r="X63" s="166">
        <f t="shared" si="60"/>
        <v>8487.8899999999958</v>
      </c>
      <c r="Y63" s="167">
        <f t="shared" si="61"/>
        <v>18162.919999999998</v>
      </c>
      <c r="Z63" s="167">
        <f t="shared" si="62"/>
        <v>-1581.3200000000033</v>
      </c>
      <c r="AC63" s="119" t="s">
        <v>7</v>
      </c>
      <c r="AD63" s="77">
        <f t="shared" si="66"/>
        <v>-18162.919999999998</v>
      </c>
      <c r="AE63" s="77">
        <f t="shared" si="63"/>
        <v>-14234</v>
      </c>
      <c r="AF63" s="77">
        <f t="shared" si="63"/>
        <v>1581.3200000000033</v>
      </c>
      <c r="AG63" s="77">
        <f t="shared" si="63"/>
        <v>-3135.9599999999919</v>
      </c>
    </row>
    <row r="64" spans="1:33" x14ac:dyDescent="0.25">
      <c r="A64" s="119" t="s">
        <v>8</v>
      </c>
      <c r="B64" s="84">
        <f t="shared" si="54"/>
        <v>9029</v>
      </c>
      <c r="C64" s="84">
        <f t="shared" si="54"/>
        <v>12201</v>
      </c>
      <c r="D64" s="84">
        <f t="shared" si="54"/>
        <v>11734</v>
      </c>
      <c r="E64" s="84">
        <f t="shared" si="54"/>
        <v>12788</v>
      </c>
      <c r="J64" s="119" t="s">
        <v>8</v>
      </c>
      <c r="K64" s="134">
        <f t="shared" si="64"/>
        <v>113046</v>
      </c>
      <c r="L64" s="134">
        <f t="shared" si="55"/>
        <v>107775</v>
      </c>
      <c r="M64" s="134">
        <f t="shared" si="55"/>
        <v>87093</v>
      </c>
      <c r="N64" s="134">
        <f t="shared" si="55"/>
        <v>86271</v>
      </c>
      <c r="O64" s="127">
        <f t="shared" si="56"/>
        <v>98546.25</v>
      </c>
      <c r="P64" s="127">
        <f t="shared" si="57"/>
        <v>13871.689091455301</v>
      </c>
      <c r="Q64" s="127">
        <f t="shared" si="58"/>
        <v>13871.689091455301</v>
      </c>
      <c r="S64" s="153" t="s">
        <v>8</v>
      </c>
      <c r="T64" s="77">
        <f t="shared" si="65"/>
        <v>64210.399999999994</v>
      </c>
      <c r="U64" s="77">
        <f t="shared" si="59"/>
        <v>32156.079999999987</v>
      </c>
      <c r="V64" s="77">
        <f t="shared" si="59"/>
        <v>12994.799999999988</v>
      </c>
      <c r="W64" s="77">
        <f t="shared" si="59"/>
        <v>44093.639999999985</v>
      </c>
      <c r="X64" s="166">
        <f t="shared" si="60"/>
        <v>38363.729999999989</v>
      </c>
      <c r="Y64" s="167">
        <f t="shared" si="61"/>
        <v>64210.399999999994</v>
      </c>
      <c r="Z64" s="167">
        <f t="shared" si="62"/>
        <v>12994.799999999988</v>
      </c>
      <c r="AC64" s="119" t="s">
        <v>8</v>
      </c>
      <c r="AD64" s="77">
        <f t="shared" si="66"/>
        <v>-64210.399999999994</v>
      </c>
      <c r="AE64" s="77">
        <f t="shared" si="63"/>
        <v>-32156.079999999987</v>
      </c>
      <c r="AF64" s="77">
        <f t="shared" si="63"/>
        <v>-12994.799999999988</v>
      </c>
      <c r="AG64" s="77">
        <f t="shared" si="63"/>
        <v>-44093.639999999985</v>
      </c>
    </row>
    <row r="65" spans="1:34" x14ac:dyDescent="0.25">
      <c r="A65" s="119" t="s">
        <v>9</v>
      </c>
      <c r="B65" s="84">
        <f t="shared" si="54"/>
        <v>8550</v>
      </c>
      <c r="C65" s="84">
        <f t="shared" si="54"/>
        <v>10442</v>
      </c>
      <c r="D65" s="84">
        <f t="shared" si="54"/>
        <v>10539</v>
      </c>
      <c r="E65" s="84">
        <f t="shared" si="54"/>
        <v>12933</v>
      </c>
      <c r="J65" s="119" t="s">
        <v>9</v>
      </c>
      <c r="K65" s="134">
        <f t="shared" si="64"/>
        <v>176577</v>
      </c>
      <c r="L65" s="134">
        <f t="shared" si="55"/>
        <v>183300</v>
      </c>
      <c r="M65" s="134">
        <f t="shared" si="55"/>
        <v>145512</v>
      </c>
      <c r="N65" s="134">
        <f t="shared" si="55"/>
        <v>129942</v>
      </c>
      <c r="O65" s="127">
        <f t="shared" si="56"/>
        <v>158832.75</v>
      </c>
      <c r="P65" s="127">
        <f t="shared" si="57"/>
        <v>25335.235981731057</v>
      </c>
      <c r="Q65" s="127">
        <f t="shared" si="58"/>
        <v>25335.235981731057</v>
      </c>
      <c r="S65" s="153" t="s">
        <v>9</v>
      </c>
      <c r="T65" s="77">
        <f t="shared" si="65"/>
        <v>16240.399999999994</v>
      </c>
      <c r="U65" s="77">
        <f t="shared" si="59"/>
        <v>15447.279999999999</v>
      </c>
      <c r="V65" s="77">
        <f t="shared" si="59"/>
        <v>13575.440000000002</v>
      </c>
      <c r="W65" s="77">
        <f t="shared" si="59"/>
        <v>40679.639999999985</v>
      </c>
      <c r="X65" s="166">
        <f t="shared" si="60"/>
        <v>21485.689999999995</v>
      </c>
      <c r="Y65" s="167">
        <f t="shared" si="61"/>
        <v>40679.639999999985</v>
      </c>
      <c r="Z65" s="167">
        <f t="shared" si="62"/>
        <v>13575.440000000002</v>
      </c>
      <c r="AC65" s="119" t="s">
        <v>9</v>
      </c>
      <c r="AD65" s="77">
        <f t="shared" si="66"/>
        <v>-16240.399999999994</v>
      </c>
      <c r="AE65" s="77">
        <f t="shared" si="63"/>
        <v>-15447.279999999999</v>
      </c>
      <c r="AF65" s="77">
        <f t="shared" si="63"/>
        <v>-13575.440000000002</v>
      </c>
      <c r="AG65" s="77">
        <f t="shared" si="63"/>
        <v>-40679.639999999985</v>
      </c>
    </row>
    <row r="66" spans="1:34" x14ac:dyDescent="0.25">
      <c r="A66" s="119" t="s">
        <v>10</v>
      </c>
      <c r="B66" s="84">
        <f t="shared" si="54"/>
        <v>7206</v>
      </c>
      <c r="C66" s="84">
        <f t="shared" si="54"/>
        <v>8192</v>
      </c>
      <c r="D66" s="84">
        <f t="shared" si="54"/>
        <v>8698</v>
      </c>
      <c r="E66" s="84">
        <f t="shared" si="54"/>
        <v>9574</v>
      </c>
      <c r="J66" s="119" t="s">
        <v>10</v>
      </c>
      <c r="K66" s="134">
        <f t="shared" si="64"/>
        <v>56628</v>
      </c>
      <c r="L66" s="134">
        <f t="shared" si="55"/>
        <v>47331</v>
      </c>
      <c r="M66" s="134">
        <f t="shared" si="55"/>
        <v>53562</v>
      </c>
      <c r="N66" s="134">
        <f t="shared" si="55"/>
        <v>55932</v>
      </c>
      <c r="O66" s="127">
        <f t="shared" si="56"/>
        <v>53363.25</v>
      </c>
      <c r="P66" s="127">
        <f t="shared" si="57"/>
        <v>4230.2328836601891</v>
      </c>
      <c r="Q66" s="127">
        <f t="shared" si="58"/>
        <v>4230.2328836601891</v>
      </c>
      <c r="S66" s="153" t="s">
        <v>10</v>
      </c>
      <c r="T66" s="77">
        <f t="shared" si="65"/>
        <v>9547.8800000000047</v>
      </c>
      <c r="U66" s="77">
        <f t="shared" si="59"/>
        <v>7072.8799999999974</v>
      </c>
      <c r="V66" s="77">
        <f t="shared" si="59"/>
        <v>6234.7599999999948</v>
      </c>
      <c r="W66" s="77">
        <f t="shared" si="59"/>
        <v>8718.68</v>
      </c>
      <c r="X66" s="166">
        <f t="shared" si="60"/>
        <v>7893.5499999999993</v>
      </c>
      <c r="Y66" s="167">
        <f t="shared" si="61"/>
        <v>9547.8800000000047</v>
      </c>
      <c r="Z66" s="167">
        <f t="shared" si="62"/>
        <v>6234.7599999999948</v>
      </c>
      <c r="AC66" s="119" t="s">
        <v>10</v>
      </c>
      <c r="AD66" s="77">
        <f t="shared" si="66"/>
        <v>-9547.8800000000047</v>
      </c>
      <c r="AE66" s="77">
        <f t="shared" si="63"/>
        <v>-7072.8799999999974</v>
      </c>
      <c r="AF66" s="77">
        <f t="shared" si="63"/>
        <v>-6234.7599999999948</v>
      </c>
      <c r="AG66" s="77">
        <f t="shared" si="63"/>
        <v>-8718.68</v>
      </c>
    </row>
    <row r="67" spans="1:34" x14ac:dyDescent="0.25">
      <c r="A67" s="119" t="s">
        <v>11</v>
      </c>
      <c r="B67" s="84">
        <f t="shared" si="54"/>
        <v>6854</v>
      </c>
      <c r="C67" s="84">
        <f t="shared" si="54"/>
        <v>7241</v>
      </c>
      <c r="D67" s="84">
        <f t="shared" si="54"/>
        <v>7924</v>
      </c>
      <c r="E67" s="84">
        <f t="shared" si="54"/>
        <v>8616</v>
      </c>
      <c r="J67" s="119" t="s">
        <v>11</v>
      </c>
      <c r="K67" s="134">
        <f t="shared" si="64"/>
        <v>8958</v>
      </c>
      <c r="L67" s="134">
        <f t="shared" si="55"/>
        <v>7110</v>
      </c>
      <c r="M67" s="134">
        <f t="shared" si="55"/>
        <v>12027</v>
      </c>
      <c r="N67" s="134">
        <f t="shared" si="55"/>
        <v>13425</v>
      </c>
      <c r="O67" s="127">
        <f t="shared" si="56"/>
        <v>10380</v>
      </c>
      <c r="P67" s="127">
        <f t="shared" si="57"/>
        <v>2869.3563738232306</v>
      </c>
      <c r="Q67" s="127">
        <f t="shared" si="58"/>
        <v>2869.3563738232306</v>
      </c>
      <c r="S67" s="153" t="s">
        <v>11</v>
      </c>
      <c r="T67" s="77">
        <f t="shared" si="65"/>
        <v>-91.920000000001892</v>
      </c>
      <c r="U67" s="77">
        <f t="shared" si="59"/>
        <v>-5170.6400000000003</v>
      </c>
      <c r="V67" s="77">
        <f t="shared" si="59"/>
        <v>-4269.5600000000004</v>
      </c>
      <c r="W67" s="77">
        <f t="shared" si="59"/>
        <v>-5667.56</v>
      </c>
      <c r="X67" s="166">
        <f t="shared" si="60"/>
        <v>-3799.920000000001</v>
      </c>
      <c r="Y67" s="167">
        <f t="shared" si="61"/>
        <v>-91.920000000001892</v>
      </c>
      <c r="Z67" s="167">
        <f t="shared" si="62"/>
        <v>-5667.56</v>
      </c>
      <c r="AC67" s="119" t="s">
        <v>11</v>
      </c>
      <c r="AD67" s="77">
        <f t="shared" si="66"/>
        <v>91.920000000001892</v>
      </c>
      <c r="AE67" s="77">
        <f t="shared" si="63"/>
        <v>5170.6400000000003</v>
      </c>
      <c r="AF67" s="77">
        <f t="shared" si="63"/>
        <v>4269.5600000000004</v>
      </c>
      <c r="AG67" s="77">
        <f t="shared" si="63"/>
        <v>5667.56</v>
      </c>
    </row>
    <row r="68" spans="1:34" x14ac:dyDescent="0.25">
      <c r="A68" s="119" t="s">
        <v>12</v>
      </c>
      <c r="B68" s="84">
        <f t="shared" si="54"/>
        <v>3962</v>
      </c>
      <c r="C68" s="84">
        <f t="shared" si="54"/>
        <v>3176</v>
      </c>
      <c r="D68" s="84">
        <f t="shared" si="54"/>
        <v>6267</v>
      </c>
      <c r="E68" s="84"/>
      <c r="J68" s="119" t="s">
        <v>12</v>
      </c>
      <c r="K68" s="134">
        <f t="shared" si="64"/>
        <v>3399</v>
      </c>
      <c r="L68" s="134">
        <f t="shared" si="55"/>
        <v>3879</v>
      </c>
      <c r="M68" s="134">
        <f t="shared" si="55"/>
        <v>3558</v>
      </c>
      <c r="N68" s="134">
        <f t="shared" si="55"/>
        <v>0</v>
      </c>
      <c r="O68" s="127">
        <f t="shared" si="56"/>
        <v>2709</v>
      </c>
      <c r="P68" s="127">
        <f t="shared" si="57"/>
        <v>1817.0013758938103</v>
      </c>
      <c r="Q68" s="127">
        <f t="shared" si="58"/>
        <v>1817.0013758938103</v>
      </c>
      <c r="S68" s="153" t="s">
        <v>12</v>
      </c>
      <c r="T68" s="77">
        <f t="shared" si="65"/>
        <v>3812.7999999999993</v>
      </c>
      <c r="U68" s="77">
        <f t="shared" si="59"/>
        <v>2835</v>
      </c>
      <c r="V68" s="77">
        <f t="shared" si="59"/>
        <v>10767</v>
      </c>
      <c r="W68" s="77">
        <f t="shared" si="59"/>
        <v>0</v>
      </c>
      <c r="X68" s="166">
        <f t="shared" si="60"/>
        <v>4353.7</v>
      </c>
      <c r="Y68" s="167">
        <f t="shared" si="61"/>
        <v>10767</v>
      </c>
      <c r="Z68" s="167">
        <f t="shared" si="62"/>
        <v>0</v>
      </c>
      <c r="AC68" s="119" t="s">
        <v>12</v>
      </c>
      <c r="AD68" s="77">
        <f t="shared" si="66"/>
        <v>-3812.7999999999993</v>
      </c>
      <c r="AE68" s="77">
        <f t="shared" si="63"/>
        <v>-2835</v>
      </c>
      <c r="AF68" s="77">
        <f t="shared" si="63"/>
        <v>-10767</v>
      </c>
      <c r="AG68" s="77">
        <f t="shared" si="63"/>
        <v>0</v>
      </c>
    </row>
    <row r="69" spans="1:34" ht="15.75" thickBot="1" x14ac:dyDescent="0.3">
      <c r="A69" s="119" t="s">
        <v>13</v>
      </c>
      <c r="B69" s="84">
        <f t="shared" si="54"/>
        <v>3870</v>
      </c>
      <c r="C69" s="84">
        <f t="shared" si="54"/>
        <v>4276</v>
      </c>
      <c r="D69" s="84">
        <f t="shared" si="54"/>
        <v>4926</v>
      </c>
      <c r="E69" s="84"/>
      <c r="J69" s="119" t="s">
        <v>13</v>
      </c>
      <c r="K69" s="134">
        <f t="shared" si="64"/>
        <v>2805</v>
      </c>
      <c r="L69" s="134">
        <f t="shared" si="55"/>
        <v>4005</v>
      </c>
      <c r="M69" s="134">
        <f t="shared" si="55"/>
        <v>4998</v>
      </c>
      <c r="N69" s="134">
        <f t="shared" si="55"/>
        <v>0</v>
      </c>
      <c r="O69" s="127">
        <f t="shared" si="56"/>
        <v>2952</v>
      </c>
      <c r="P69" s="127">
        <f t="shared" si="57"/>
        <v>2162.6247940870371</v>
      </c>
      <c r="Q69" s="127">
        <f t="shared" si="58"/>
        <v>2162.6247940870371</v>
      </c>
      <c r="S69" s="168" t="s">
        <v>13</v>
      </c>
      <c r="T69" s="43">
        <f t="shared" si="65"/>
        <v>1913.2399999999998</v>
      </c>
      <c r="U69" s="43">
        <f t="shared" si="59"/>
        <v>5841</v>
      </c>
      <c r="V69" s="43">
        <f t="shared" si="59"/>
        <v>3760.119999999999</v>
      </c>
      <c r="W69" s="43">
        <f t="shared" si="59"/>
        <v>0</v>
      </c>
      <c r="X69" s="166">
        <f t="shared" si="60"/>
        <v>2878.5899999999997</v>
      </c>
      <c r="Y69" s="167">
        <f t="shared" si="61"/>
        <v>5841</v>
      </c>
      <c r="Z69" s="167">
        <f t="shared" si="62"/>
        <v>0</v>
      </c>
      <c r="AC69" s="139" t="s">
        <v>13</v>
      </c>
      <c r="AD69" s="77">
        <f t="shared" si="66"/>
        <v>-1913.2399999999998</v>
      </c>
      <c r="AE69" s="77">
        <f t="shared" si="63"/>
        <v>-5841</v>
      </c>
      <c r="AF69" s="77">
        <f t="shared" si="63"/>
        <v>-3760.119999999999</v>
      </c>
      <c r="AG69" s="77">
        <f t="shared" si="63"/>
        <v>0</v>
      </c>
    </row>
    <row r="70" spans="1:34" ht="16.5" thickTop="1" thickBot="1" x14ac:dyDescent="0.3">
      <c r="A70" s="128" t="s">
        <v>0</v>
      </c>
      <c r="B70" s="129">
        <f>SUM(B58:B69)</f>
        <v>72951</v>
      </c>
      <c r="C70" s="129">
        <f t="shared" ref="C70:E70" si="67">SUM(C58:C69)</f>
        <v>82417</v>
      </c>
      <c r="D70" s="129">
        <f t="shared" si="67"/>
        <v>93125</v>
      </c>
      <c r="E70" s="129">
        <f t="shared" si="67"/>
        <v>87929</v>
      </c>
      <c r="J70" s="128" t="s">
        <v>0</v>
      </c>
      <c r="K70" s="129">
        <f t="shared" ref="K70:M70" si="68">SUM(K58:K69)</f>
        <v>450165</v>
      </c>
      <c r="L70" s="129">
        <f t="shared" si="68"/>
        <v>419838</v>
      </c>
      <c r="M70" s="129">
        <f t="shared" si="68"/>
        <v>380280</v>
      </c>
      <c r="N70" s="129">
        <f>SUM(N58:N69)</f>
        <v>377424</v>
      </c>
      <c r="S70" s="169" t="s">
        <v>0</v>
      </c>
      <c r="T70" s="170">
        <f>SUM(T58:T69)</f>
        <v>124705.31999999999</v>
      </c>
      <c r="U70" s="170">
        <f>SUM(U58:U69)</f>
        <v>78307.799999999974</v>
      </c>
      <c r="V70" s="170">
        <f>SUM(V58:V69)</f>
        <v>51953.639999999985</v>
      </c>
      <c r="W70" s="170">
        <f>SUM(W58:W69)</f>
        <v>99121.959999999963</v>
      </c>
      <c r="X70" s="148"/>
      <c r="Y70" s="148"/>
      <c r="Z70" s="148"/>
      <c r="AC70" s="138" t="s">
        <v>0</v>
      </c>
      <c r="AD70" s="170">
        <f>SUM(AD58:AD69)</f>
        <v>-124705.31999999999</v>
      </c>
      <c r="AE70" s="170">
        <f>SUM(AE58:AE69)</f>
        <v>-78307.799999999974</v>
      </c>
      <c r="AF70" s="170">
        <f>SUM(AF58:AF69)</f>
        <v>-51953.639999999985</v>
      </c>
      <c r="AG70" s="170">
        <f>SUM(AG58:AG69)</f>
        <v>-99121.959999999963</v>
      </c>
    </row>
    <row r="71" spans="1:34" ht="16.5" thickTop="1" thickBot="1" x14ac:dyDescent="0.3">
      <c r="J71" s="136" t="s">
        <v>14</v>
      </c>
      <c r="K71" s="136"/>
      <c r="L71" s="136"/>
      <c r="M71" s="136"/>
      <c r="N71" s="136"/>
      <c r="O71" s="136"/>
      <c r="P71" s="136"/>
      <c r="Q71" s="136"/>
    </row>
    <row r="72" spans="1:34" ht="17.25" thickTop="1" thickBot="1" x14ac:dyDescent="0.3">
      <c r="A72" s="140" t="s">
        <v>111</v>
      </c>
      <c r="B72" s="141"/>
      <c r="C72" s="141"/>
      <c r="D72" s="141"/>
      <c r="E72" s="141"/>
      <c r="F72" s="142"/>
      <c r="J72" s="140" t="s">
        <v>201</v>
      </c>
      <c r="K72" s="141"/>
      <c r="L72" s="141"/>
      <c r="M72" s="141"/>
      <c r="N72" s="141"/>
      <c r="O72" s="142"/>
      <c r="S72" s="149" t="s">
        <v>174</v>
      </c>
      <c r="T72" s="164"/>
      <c r="U72" s="164"/>
      <c r="V72" s="164"/>
      <c r="W72" s="164"/>
      <c r="X72" s="150"/>
      <c r="Y72" s="148"/>
      <c r="Z72" s="148"/>
      <c r="AC72" s="140" t="s">
        <v>247</v>
      </c>
      <c r="AD72" s="141"/>
      <c r="AE72" s="141"/>
      <c r="AF72" s="141"/>
      <c r="AG72" s="141"/>
    </row>
    <row r="73" spans="1:34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  <c r="J73" s="124"/>
      <c r="K73" s="125">
        <v>2014</v>
      </c>
      <c r="L73" s="125">
        <v>2015</v>
      </c>
      <c r="M73" s="125">
        <v>2016</v>
      </c>
      <c r="N73" s="125">
        <v>2017</v>
      </c>
      <c r="O73" s="126" t="s">
        <v>1</v>
      </c>
      <c r="P73" s="117" t="s">
        <v>18</v>
      </c>
      <c r="Q73" s="117" t="s">
        <v>17</v>
      </c>
      <c r="S73" s="151"/>
      <c r="T73" s="147">
        <v>2014</v>
      </c>
      <c r="U73" s="147">
        <v>2015</v>
      </c>
      <c r="V73" s="147">
        <v>2016</v>
      </c>
      <c r="W73" s="147">
        <v>2017</v>
      </c>
      <c r="X73" s="152" t="s">
        <v>1</v>
      </c>
      <c r="Y73" s="165" t="s">
        <v>18</v>
      </c>
      <c r="Z73" s="165" t="s">
        <v>17</v>
      </c>
      <c r="AC73" s="124"/>
      <c r="AD73" s="125">
        <v>2014</v>
      </c>
      <c r="AE73" s="125">
        <v>2015</v>
      </c>
      <c r="AF73" s="125">
        <v>2016</v>
      </c>
      <c r="AG73" s="125">
        <v>2017</v>
      </c>
      <c r="AH73" s="152" t="s">
        <v>1</v>
      </c>
    </row>
    <row r="74" spans="1:34" x14ac:dyDescent="0.25">
      <c r="A74" s="119" t="s">
        <v>2</v>
      </c>
      <c r="B74" s="84">
        <f>K107*Générale!$B$4</f>
        <v>0</v>
      </c>
      <c r="C74" s="84">
        <f>L107*Générale!$B$4</f>
        <v>168</v>
      </c>
      <c r="D74" s="84">
        <f>M107*Générale!$B$4</f>
        <v>0</v>
      </c>
      <c r="E74" s="84">
        <f>N107*Générale!$B$4</f>
        <v>600</v>
      </c>
      <c r="J74" s="119" t="s">
        <v>2</v>
      </c>
      <c r="K74" s="134">
        <f>B58</f>
        <v>3092</v>
      </c>
      <c r="L74" s="134">
        <f t="shared" ref="L74:N85" si="69">C58</f>
        <v>3868</v>
      </c>
      <c r="M74" s="134">
        <f t="shared" si="69"/>
        <v>2881</v>
      </c>
      <c r="N74" s="134">
        <f t="shared" si="69"/>
        <v>4958</v>
      </c>
      <c r="O74" s="127">
        <f t="shared" ref="O74:O85" si="70">AVERAGE(K74:N74)</f>
        <v>3699.75</v>
      </c>
      <c r="P74" s="127">
        <f t="shared" ref="P74:P85" si="71">STDEVA(K74:N74)</f>
        <v>940.07317977556056</v>
      </c>
      <c r="Q74" s="127">
        <f t="shared" ref="Q74:Q85" si="72">STDEVA(K74:N74)</f>
        <v>940.07317977556056</v>
      </c>
      <c r="S74" s="153" t="s">
        <v>2</v>
      </c>
      <c r="T74" s="77">
        <f>B3-K74</f>
        <v>-3092</v>
      </c>
      <c r="U74" s="77">
        <f t="shared" ref="U74:W85" si="73">C3-L74</f>
        <v>-2564</v>
      </c>
      <c r="V74" s="77">
        <f t="shared" si="73"/>
        <v>-2881</v>
      </c>
      <c r="W74" s="77">
        <f t="shared" si="73"/>
        <v>-4617.6000000000004</v>
      </c>
      <c r="X74" s="166">
        <f t="shared" ref="X74:X85" si="74">AVERAGE(T74:W74)</f>
        <v>-3288.65</v>
      </c>
      <c r="Y74" s="167">
        <f t="shared" ref="Y74:Y85" si="75">MAX(T74:W74)</f>
        <v>-2564</v>
      </c>
      <c r="Z74" s="167">
        <f t="shared" ref="Z74:Z85" si="76">MIN(T74:W74)</f>
        <v>-4617.6000000000004</v>
      </c>
      <c r="AC74" s="119" t="s">
        <v>2</v>
      </c>
      <c r="AD74" s="77">
        <f>-1*T74</f>
        <v>3092</v>
      </c>
      <c r="AE74" s="77">
        <f t="shared" ref="AE74:AG85" si="77">-1*U74</f>
        <v>2564</v>
      </c>
      <c r="AF74" s="77">
        <f t="shared" si="77"/>
        <v>2881</v>
      </c>
      <c r="AG74" s="77">
        <f t="shared" si="77"/>
        <v>4617.6000000000004</v>
      </c>
      <c r="AH74" s="166">
        <f t="shared" ref="AH74:AH85" si="78">AVERAGE(AD74:AG74)</f>
        <v>3288.65</v>
      </c>
    </row>
    <row r="75" spans="1:34" x14ac:dyDescent="0.25">
      <c r="A75" s="119" t="s">
        <v>3</v>
      </c>
      <c r="B75" s="84">
        <f>K108*Générale!$B$4</f>
        <v>183</v>
      </c>
      <c r="C75" s="84">
        <f>L108*Générale!$B$4</f>
        <v>510</v>
      </c>
      <c r="D75" s="84">
        <f>M108*Générale!$B$4</f>
        <v>0</v>
      </c>
      <c r="E75" s="84">
        <f>N108*Générale!$B$4</f>
        <v>582</v>
      </c>
      <c r="J75" s="119" t="s">
        <v>3</v>
      </c>
      <c r="K75" s="134">
        <f t="shared" ref="K75:K85" si="79">B59</f>
        <v>4710</v>
      </c>
      <c r="L75" s="134">
        <f t="shared" si="69"/>
        <v>5557</v>
      </c>
      <c r="M75" s="134">
        <f t="shared" si="69"/>
        <v>4390</v>
      </c>
      <c r="N75" s="134">
        <f t="shared" si="69"/>
        <v>5860</v>
      </c>
      <c r="O75" s="127">
        <f t="shared" si="70"/>
        <v>5129.25</v>
      </c>
      <c r="P75" s="127">
        <f t="shared" si="71"/>
        <v>692.63428300943929</v>
      </c>
      <c r="Q75" s="127">
        <f t="shared" si="72"/>
        <v>692.63428300943929</v>
      </c>
      <c r="S75" s="153" t="s">
        <v>3</v>
      </c>
      <c r="T75" s="77">
        <f t="shared" ref="T75:T85" si="80">B4-K75</f>
        <v>-3406</v>
      </c>
      <c r="U75" s="77">
        <f t="shared" si="73"/>
        <v>-341</v>
      </c>
      <c r="V75" s="77">
        <f t="shared" si="73"/>
        <v>-4390</v>
      </c>
      <c r="W75" s="77">
        <f t="shared" si="73"/>
        <v>-4839.2</v>
      </c>
      <c r="X75" s="166">
        <f t="shared" si="74"/>
        <v>-3244.05</v>
      </c>
      <c r="Y75" s="167">
        <f t="shared" si="75"/>
        <v>-341</v>
      </c>
      <c r="Z75" s="167">
        <f t="shared" si="76"/>
        <v>-4839.2</v>
      </c>
      <c r="AC75" s="119" t="s">
        <v>3</v>
      </c>
      <c r="AD75" s="77">
        <f t="shared" ref="AD75:AD85" si="81">-1*T75</f>
        <v>3406</v>
      </c>
      <c r="AE75" s="77">
        <f t="shared" si="77"/>
        <v>341</v>
      </c>
      <c r="AF75" s="77">
        <f t="shared" si="77"/>
        <v>4390</v>
      </c>
      <c r="AG75" s="77">
        <f t="shared" si="77"/>
        <v>4839.2</v>
      </c>
      <c r="AH75" s="166">
        <f t="shared" si="78"/>
        <v>3244.05</v>
      </c>
    </row>
    <row r="76" spans="1:34" x14ac:dyDescent="0.25">
      <c r="A76" s="119" t="s">
        <v>4</v>
      </c>
      <c r="B76" s="84">
        <f>K109*Générale!$B$4</f>
        <v>0</v>
      </c>
      <c r="C76" s="84">
        <f>L109*Générale!$B$4</f>
        <v>246</v>
      </c>
      <c r="D76" s="84">
        <f>M109*Générale!$B$4</f>
        <v>0</v>
      </c>
      <c r="E76" s="84">
        <f>N109*Générale!$B$4</f>
        <v>0</v>
      </c>
      <c r="J76" s="119" t="s">
        <v>4</v>
      </c>
      <c r="K76" s="134">
        <f t="shared" si="79"/>
        <v>4547</v>
      </c>
      <c r="L76" s="134">
        <f t="shared" si="69"/>
        <v>5026</v>
      </c>
      <c r="M76" s="134">
        <f t="shared" si="69"/>
        <v>5938</v>
      </c>
      <c r="N76" s="134">
        <f t="shared" si="69"/>
        <v>6801</v>
      </c>
      <c r="O76" s="127">
        <f t="shared" si="70"/>
        <v>5578</v>
      </c>
      <c r="P76" s="127">
        <f t="shared" si="71"/>
        <v>998.83165081342247</v>
      </c>
      <c r="Q76" s="127">
        <f t="shared" si="72"/>
        <v>998.83165081342247</v>
      </c>
      <c r="S76" s="153" t="s">
        <v>4</v>
      </c>
      <c r="T76" s="77">
        <f t="shared" si="80"/>
        <v>-4547</v>
      </c>
      <c r="U76" s="77">
        <f t="shared" si="73"/>
        <v>-2418</v>
      </c>
      <c r="V76" s="77">
        <f t="shared" si="73"/>
        <v>-5938</v>
      </c>
      <c r="W76" s="77">
        <f t="shared" si="73"/>
        <v>-6801</v>
      </c>
      <c r="X76" s="166">
        <f t="shared" si="74"/>
        <v>-4926</v>
      </c>
      <c r="Y76" s="167">
        <f t="shared" si="75"/>
        <v>-2418</v>
      </c>
      <c r="Z76" s="167">
        <f t="shared" si="76"/>
        <v>-6801</v>
      </c>
      <c r="AC76" s="119" t="s">
        <v>4</v>
      </c>
      <c r="AD76" s="77">
        <f t="shared" si="81"/>
        <v>4547</v>
      </c>
      <c r="AE76" s="77">
        <f t="shared" si="77"/>
        <v>2418</v>
      </c>
      <c r="AF76" s="77">
        <f t="shared" si="77"/>
        <v>5938</v>
      </c>
      <c r="AG76" s="77">
        <f t="shared" si="77"/>
        <v>6801</v>
      </c>
      <c r="AH76" s="166">
        <f t="shared" si="78"/>
        <v>4926</v>
      </c>
    </row>
    <row r="77" spans="1:34" x14ac:dyDescent="0.25">
      <c r="A77" s="119" t="s">
        <v>5</v>
      </c>
      <c r="B77" s="84">
        <f>K110*Générale!$B$4</f>
        <v>6126</v>
      </c>
      <c r="C77" s="84">
        <f>L110*Générale!$B$4</f>
        <v>5637</v>
      </c>
      <c r="D77" s="84">
        <f>M110*Générale!$B$4</f>
        <v>12045</v>
      </c>
      <c r="E77" s="84">
        <f>N110*Générale!$B$4</f>
        <v>13683</v>
      </c>
      <c r="J77" s="119" t="s">
        <v>5</v>
      </c>
      <c r="K77" s="134">
        <f t="shared" si="79"/>
        <v>6744</v>
      </c>
      <c r="L77" s="134">
        <f t="shared" si="69"/>
        <v>6892</v>
      </c>
      <c r="M77" s="134">
        <f t="shared" si="69"/>
        <v>9354</v>
      </c>
      <c r="N77" s="134">
        <f t="shared" si="69"/>
        <v>7813</v>
      </c>
      <c r="O77" s="127">
        <f t="shared" si="70"/>
        <v>7700.75</v>
      </c>
      <c r="P77" s="127">
        <f t="shared" si="71"/>
        <v>1199.3446474359791</v>
      </c>
      <c r="Q77" s="127">
        <f t="shared" si="72"/>
        <v>1199.3446474359791</v>
      </c>
      <c r="S77" s="153" t="s">
        <v>5</v>
      </c>
      <c r="T77" s="77">
        <f t="shared" si="80"/>
        <v>-2926.3999999999996</v>
      </c>
      <c r="U77" s="77">
        <f t="shared" si="73"/>
        <v>-4018</v>
      </c>
      <c r="V77" s="77">
        <f t="shared" si="73"/>
        <v>-2510.3999999999996</v>
      </c>
      <c r="W77" s="77">
        <f t="shared" si="73"/>
        <v>-1714.5999999999995</v>
      </c>
      <c r="X77" s="166">
        <f t="shared" si="74"/>
        <v>-2792.3499999999995</v>
      </c>
      <c r="Y77" s="167">
        <f t="shared" si="75"/>
        <v>-1714.5999999999995</v>
      </c>
      <c r="Z77" s="167">
        <f t="shared" si="76"/>
        <v>-4018</v>
      </c>
      <c r="AC77" s="119" t="s">
        <v>5</v>
      </c>
      <c r="AD77" s="77">
        <f t="shared" si="81"/>
        <v>2926.3999999999996</v>
      </c>
      <c r="AE77" s="77">
        <f t="shared" si="77"/>
        <v>4018</v>
      </c>
      <c r="AF77" s="77">
        <f t="shared" si="77"/>
        <v>2510.3999999999996</v>
      </c>
      <c r="AG77" s="77">
        <f t="shared" si="77"/>
        <v>1714.5999999999995</v>
      </c>
      <c r="AH77" s="166">
        <f t="shared" si="78"/>
        <v>2792.3499999999995</v>
      </c>
    </row>
    <row r="78" spans="1:34" x14ac:dyDescent="0.25">
      <c r="A78" s="119" t="s">
        <v>6</v>
      </c>
      <c r="B78" s="84">
        <f>K111*Générale!$B$4</f>
        <v>16269</v>
      </c>
      <c r="C78" s="84">
        <f>L111*Générale!$B$4</f>
        <v>10539</v>
      </c>
      <c r="D78" s="84">
        <f>M111*Générale!$B$4</f>
        <v>11592</v>
      </c>
      <c r="E78" s="84">
        <f>N111*Générale!$B$4</f>
        <v>18864</v>
      </c>
      <c r="J78" s="119" t="s">
        <v>6</v>
      </c>
      <c r="K78" s="134">
        <f t="shared" si="79"/>
        <v>7350</v>
      </c>
      <c r="L78" s="134">
        <f t="shared" si="69"/>
        <v>6692</v>
      </c>
      <c r="M78" s="134">
        <f t="shared" si="69"/>
        <v>8594</v>
      </c>
      <c r="N78" s="134">
        <f t="shared" si="69"/>
        <v>8601</v>
      </c>
      <c r="O78" s="127">
        <f t="shared" si="70"/>
        <v>7809.25</v>
      </c>
      <c r="P78" s="127">
        <f t="shared" si="71"/>
        <v>949.00979095757145</v>
      </c>
      <c r="Q78" s="127">
        <f t="shared" si="72"/>
        <v>949.00979095757145</v>
      </c>
      <c r="S78" s="153" t="s">
        <v>6</v>
      </c>
      <c r="T78" s="77">
        <f t="shared" si="80"/>
        <v>-2280.2399999999998</v>
      </c>
      <c r="U78" s="77">
        <f t="shared" si="73"/>
        <v>-2947.04</v>
      </c>
      <c r="V78" s="77">
        <f t="shared" si="73"/>
        <v>-6080.24</v>
      </c>
      <c r="W78" s="77">
        <f t="shared" si="73"/>
        <v>-2048.2799999999997</v>
      </c>
      <c r="X78" s="166">
        <f t="shared" si="74"/>
        <v>-3338.95</v>
      </c>
      <c r="Y78" s="167">
        <f t="shared" si="75"/>
        <v>-2048.2799999999997</v>
      </c>
      <c r="Z78" s="167">
        <f t="shared" si="76"/>
        <v>-6080.24</v>
      </c>
      <c r="AC78" s="119" t="s">
        <v>6</v>
      </c>
      <c r="AD78" s="77">
        <f t="shared" si="81"/>
        <v>2280.2399999999998</v>
      </c>
      <c r="AE78" s="77">
        <f t="shared" si="77"/>
        <v>2947.04</v>
      </c>
      <c r="AF78" s="77">
        <f t="shared" si="77"/>
        <v>6080.24</v>
      </c>
      <c r="AG78" s="77">
        <f t="shared" si="77"/>
        <v>2048.2799999999997</v>
      </c>
      <c r="AH78" s="166">
        <f t="shared" si="78"/>
        <v>3338.95</v>
      </c>
    </row>
    <row r="79" spans="1:34" x14ac:dyDescent="0.25">
      <c r="A79" s="119" t="s">
        <v>7</v>
      </c>
      <c r="B79" s="84">
        <f>K112*Générale!$B$4</f>
        <v>19593</v>
      </c>
      <c r="C79" s="84">
        <f>L112*Générale!$B$4</f>
        <v>19314</v>
      </c>
      <c r="D79" s="84">
        <f>M112*Générale!$B$4</f>
        <v>25509</v>
      </c>
      <c r="E79" s="84">
        <f>N112*Générale!$B$4</f>
        <v>22926</v>
      </c>
      <c r="J79" s="119" t="s">
        <v>7</v>
      </c>
      <c r="K79" s="134">
        <f t="shared" si="79"/>
        <v>7037</v>
      </c>
      <c r="L79" s="134">
        <f t="shared" si="69"/>
        <v>8854</v>
      </c>
      <c r="M79" s="134">
        <f t="shared" si="69"/>
        <v>11880</v>
      </c>
      <c r="N79" s="134">
        <f t="shared" si="69"/>
        <v>9985</v>
      </c>
      <c r="O79" s="127">
        <f t="shared" si="70"/>
        <v>9439</v>
      </c>
      <c r="P79" s="127">
        <f t="shared" si="71"/>
        <v>2030.4700605196488</v>
      </c>
      <c r="Q79" s="127">
        <f t="shared" si="72"/>
        <v>2030.4700605196488</v>
      </c>
      <c r="S79" s="153" t="s">
        <v>7</v>
      </c>
      <c r="T79" s="77">
        <f t="shared" si="80"/>
        <v>-1943</v>
      </c>
      <c r="U79" s="77">
        <f t="shared" si="73"/>
        <v>-2239.6000000000004</v>
      </c>
      <c r="V79" s="77">
        <f t="shared" si="73"/>
        <v>-4213.92</v>
      </c>
      <c r="W79" s="77">
        <f t="shared" si="73"/>
        <v>-3585.88</v>
      </c>
      <c r="X79" s="166">
        <f t="shared" si="74"/>
        <v>-2995.6000000000004</v>
      </c>
      <c r="Y79" s="167">
        <f t="shared" si="75"/>
        <v>-1943</v>
      </c>
      <c r="Z79" s="167">
        <f t="shared" si="76"/>
        <v>-4213.92</v>
      </c>
      <c r="AC79" s="119" t="s">
        <v>7</v>
      </c>
      <c r="AD79" s="77">
        <f t="shared" si="81"/>
        <v>1943</v>
      </c>
      <c r="AE79" s="77">
        <f t="shared" si="77"/>
        <v>2239.6000000000004</v>
      </c>
      <c r="AF79" s="77">
        <f t="shared" si="77"/>
        <v>4213.92</v>
      </c>
      <c r="AG79" s="77">
        <f t="shared" si="77"/>
        <v>3585.88</v>
      </c>
      <c r="AH79" s="166">
        <f t="shared" si="78"/>
        <v>2995.6000000000004</v>
      </c>
    </row>
    <row r="80" spans="1:34" x14ac:dyDescent="0.25">
      <c r="A80" s="119" t="s">
        <v>8</v>
      </c>
      <c r="B80" s="84">
        <f>K113*Générale!$B$4</f>
        <v>47556</v>
      </c>
      <c r="C80" s="84">
        <f>L113*Générale!$B$4</f>
        <v>51462</v>
      </c>
      <c r="D80" s="84">
        <f>M113*Générale!$B$4</f>
        <v>51231</v>
      </c>
      <c r="E80" s="84">
        <f>N113*Générale!$B$4</f>
        <v>53196</v>
      </c>
      <c r="J80" s="119" t="s">
        <v>8</v>
      </c>
      <c r="K80" s="134">
        <f t="shared" si="79"/>
        <v>9029</v>
      </c>
      <c r="L80" s="134">
        <f t="shared" si="69"/>
        <v>12201</v>
      </c>
      <c r="M80" s="134">
        <f t="shared" si="69"/>
        <v>11734</v>
      </c>
      <c r="N80" s="134">
        <f t="shared" si="69"/>
        <v>12788</v>
      </c>
      <c r="O80" s="127">
        <f t="shared" si="70"/>
        <v>11438</v>
      </c>
      <c r="P80" s="127">
        <f t="shared" si="71"/>
        <v>1662.8856444947339</v>
      </c>
      <c r="Q80" s="127">
        <f t="shared" si="72"/>
        <v>1662.8856444947339</v>
      </c>
      <c r="S80" s="153" t="s">
        <v>8</v>
      </c>
      <c r="T80" s="77">
        <f t="shared" si="80"/>
        <v>4254.5200000000004</v>
      </c>
      <c r="U80" s="77">
        <f t="shared" si="73"/>
        <v>573.95999999999913</v>
      </c>
      <c r="V80" s="77">
        <f t="shared" si="73"/>
        <v>625.51999999999862</v>
      </c>
      <c r="W80" s="77">
        <f t="shared" si="73"/>
        <v>-1447.0400000000009</v>
      </c>
      <c r="X80" s="166">
        <f t="shared" si="74"/>
        <v>1001.7399999999993</v>
      </c>
      <c r="Y80" s="167">
        <f t="shared" si="75"/>
        <v>4254.5200000000004</v>
      </c>
      <c r="Z80" s="167">
        <f t="shared" si="76"/>
        <v>-1447.0400000000009</v>
      </c>
      <c r="AC80" s="119" t="s">
        <v>8</v>
      </c>
      <c r="AD80" s="77">
        <f t="shared" si="81"/>
        <v>-4254.5200000000004</v>
      </c>
      <c r="AE80" s="77">
        <f t="shared" si="77"/>
        <v>-573.95999999999913</v>
      </c>
      <c r="AF80" s="77">
        <f t="shared" si="77"/>
        <v>-625.51999999999862</v>
      </c>
      <c r="AG80" s="77">
        <f t="shared" si="77"/>
        <v>1447.0400000000009</v>
      </c>
      <c r="AH80" s="166">
        <f t="shared" si="78"/>
        <v>-1001.7399999999993</v>
      </c>
    </row>
    <row r="81" spans="1:34" x14ac:dyDescent="0.25">
      <c r="A81" s="119" t="s">
        <v>9</v>
      </c>
      <c r="B81" s="84">
        <f>K114*Générale!$B$4</f>
        <v>65553</v>
      </c>
      <c r="C81" s="84">
        <f>L114*Générale!$B$4</f>
        <v>81267</v>
      </c>
      <c r="D81" s="84">
        <f>M114*Générale!$B$4</f>
        <v>66477</v>
      </c>
      <c r="E81" s="84">
        <f>N114*Générale!$B$4</f>
        <v>58719</v>
      </c>
      <c r="J81" s="119" t="s">
        <v>9</v>
      </c>
      <c r="K81" s="134">
        <f t="shared" si="79"/>
        <v>8550</v>
      </c>
      <c r="L81" s="134">
        <f t="shared" si="69"/>
        <v>10442</v>
      </c>
      <c r="M81" s="134">
        <f t="shared" si="69"/>
        <v>10539</v>
      </c>
      <c r="N81" s="134">
        <f t="shared" si="69"/>
        <v>12933</v>
      </c>
      <c r="O81" s="127">
        <f t="shared" si="70"/>
        <v>10616</v>
      </c>
      <c r="P81" s="127">
        <f t="shared" si="71"/>
        <v>1795.6475155219077</v>
      </c>
      <c r="Q81" s="127">
        <f t="shared" si="72"/>
        <v>1795.6475155219077</v>
      </c>
      <c r="S81" s="153" t="s">
        <v>9</v>
      </c>
      <c r="T81" s="77">
        <f t="shared" si="80"/>
        <v>4635.5999999999985</v>
      </c>
      <c r="U81" s="77">
        <f t="shared" si="73"/>
        <v>5885.68</v>
      </c>
      <c r="V81" s="77">
        <f t="shared" si="73"/>
        <v>2650.6800000000003</v>
      </c>
      <c r="W81" s="77">
        <f t="shared" si="73"/>
        <v>-718.44000000000233</v>
      </c>
      <c r="X81" s="166">
        <f t="shared" si="74"/>
        <v>3113.3799999999992</v>
      </c>
      <c r="Y81" s="167">
        <f t="shared" si="75"/>
        <v>5885.68</v>
      </c>
      <c r="Z81" s="167">
        <f t="shared" si="76"/>
        <v>-718.44000000000233</v>
      </c>
      <c r="AC81" s="119" t="s">
        <v>9</v>
      </c>
      <c r="AD81" s="77">
        <f t="shared" si="81"/>
        <v>-4635.5999999999985</v>
      </c>
      <c r="AE81" s="77">
        <f t="shared" si="77"/>
        <v>-5885.68</v>
      </c>
      <c r="AF81" s="77">
        <f t="shared" si="77"/>
        <v>-2650.6800000000003</v>
      </c>
      <c r="AG81" s="77">
        <f t="shared" si="77"/>
        <v>718.44000000000233</v>
      </c>
      <c r="AH81" s="166">
        <f t="shared" si="78"/>
        <v>-3113.3799999999992</v>
      </c>
    </row>
    <row r="82" spans="1:34" x14ac:dyDescent="0.25">
      <c r="A82" s="119" t="s">
        <v>10</v>
      </c>
      <c r="B82" s="84">
        <f>K115*Générale!$B$4</f>
        <v>18429</v>
      </c>
      <c r="C82" s="84">
        <f>L115*Générale!$B$4</f>
        <v>19713</v>
      </c>
      <c r="D82" s="84">
        <f>M115*Générale!$B$4</f>
        <v>32250</v>
      </c>
      <c r="E82" s="84">
        <f>N115*Générale!$B$4</f>
        <v>29631</v>
      </c>
      <c r="J82" s="119" t="s">
        <v>10</v>
      </c>
      <c r="K82" s="134">
        <f t="shared" si="79"/>
        <v>7206</v>
      </c>
      <c r="L82" s="134">
        <f t="shared" si="69"/>
        <v>8192</v>
      </c>
      <c r="M82" s="134">
        <f t="shared" si="69"/>
        <v>8698</v>
      </c>
      <c r="N82" s="134">
        <f t="shared" si="69"/>
        <v>9574</v>
      </c>
      <c r="O82" s="127">
        <f t="shared" si="70"/>
        <v>8417.5</v>
      </c>
      <c r="P82" s="127">
        <f t="shared" si="71"/>
        <v>989.06605778717665</v>
      </c>
      <c r="Q82" s="127">
        <f t="shared" si="72"/>
        <v>989.06605778717665</v>
      </c>
      <c r="S82" s="153" t="s">
        <v>10</v>
      </c>
      <c r="T82" s="77">
        <f t="shared" si="80"/>
        <v>-3743.76</v>
      </c>
      <c r="U82" s="77">
        <f t="shared" si="73"/>
        <v>-4796</v>
      </c>
      <c r="V82" s="77">
        <f t="shared" si="73"/>
        <v>-2321.2000000000007</v>
      </c>
      <c r="W82" s="77">
        <f t="shared" si="73"/>
        <v>-3777.76</v>
      </c>
      <c r="X82" s="166">
        <f t="shared" si="74"/>
        <v>-3659.6800000000003</v>
      </c>
      <c r="Y82" s="167">
        <f t="shared" si="75"/>
        <v>-2321.2000000000007</v>
      </c>
      <c r="Z82" s="167">
        <f t="shared" si="76"/>
        <v>-4796</v>
      </c>
      <c r="AC82" s="119" t="s">
        <v>10</v>
      </c>
      <c r="AD82" s="77">
        <f t="shared" si="81"/>
        <v>3743.76</v>
      </c>
      <c r="AE82" s="77">
        <f t="shared" si="77"/>
        <v>4796</v>
      </c>
      <c r="AF82" s="77">
        <f t="shared" si="77"/>
        <v>2321.2000000000007</v>
      </c>
      <c r="AG82" s="77">
        <f t="shared" si="77"/>
        <v>3777.76</v>
      </c>
      <c r="AH82" s="166">
        <f t="shared" si="78"/>
        <v>3659.6800000000003</v>
      </c>
    </row>
    <row r="83" spans="1:34" x14ac:dyDescent="0.25">
      <c r="A83" s="119" t="s">
        <v>11</v>
      </c>
      <c r="B83" s="84">
        <f>K116*Générale!$B$4</f>
        <v>2886</v>
      </c>
      <c r="C83" s="84">
        <f>L116*Générale!$B$4</f>
        <v>2382</v>
      </c>
      <c r="D83" s="84">
        <f>M116*Générale!$B$4</f>
        <v>7179</v>
      </c>
      <c r="E83" s="84">
        <f>N116*Générale!$B$4</f>
        <v>6681</v>
      </c>
      <c r="J83" s="119" t="s">
        <v>11</v>
      </c>
      <c r="K83" s="134">
        <f t="shared" si="79"/>
        <v>6854</v>
      </c>
      <c r="L83" s="134">
        <f t="shared" si="69"/>
        <v>7241</v>
      </c>
      <c r="M83" s="134">
        <f t="shared" si="69"/>
        <v>7924</v>
      </c>
      <c r="N83" s="134">
        <f t="shared" si="69"/>
        <v>8616</v>
      </c>
      <c r="O83" s="127">
        <f t="shared" si="70"/>
        <v>7658.75</v>
      </c>
      <c r="P83" s="127">
        <f t="shared" si="71"/>
        <v>776.49270226233716</v>
      </c>
      <c r="Q83" s="127">
        <f t="shared" si="72"/>
        <v>776.49270226233716</v>
      </c>
      <c r="S83" s="153" t="s">
        <v>11</v>
      </c>
      <c r="T83" s="77">
        <f t="shared" si="80"/>
        <v>-3565.2</v>
      </c>
      <c r="U83" s="77">
        <f t="shared" si="73"/>
        <v>-6560.2</v>
      </c>
      <c r="V83" s="77">
        <f t="shared" si="73"/>
        <v>-5302.4</v>
      </c>
      <c r="W83" s="77">
        <f t="shared" si="73"/>
        <v>-4353.5999999999995</v>
      </c>
      <c r="X83" s="166">
        <f t="shared" si="74"/>
        <v>-4945.3499999999995</v>
      </c>
      <c r="Y83" s="167">
        <f t="shared" si="75"/>
        <v>-3565.2</v>
      </c>
      <c r="Z83" s="167">
        <f t="shared" si="76"/>
        <v>-6560.2</v>
      </c>
      <c r="AC83" s="119" t="s">
        <v>11</v>
      </c>
      <c r="AD83" s="77">
        <f t="shared" si="81"/>
        <v>3565.2</v>
      </c>
      <c r="AE83" s="77">
        <f t="shared" si="77"/>
        <v>6560.2</v>
      </c>
      <c r="AF83" s="77">
        <f t="shared" si="77"/>
        <v>5302.4</v>
      </c>
      <c r="AG83" s="77">
        <f t="shared" si="77"/>
        <v>4353.5999999999995</v>
      </c>
      <c r="AH83" s="166">
        <f t="shared" si="78"/>
        <v>4945.3499999999995</v>
      </c>
    </row>
    <row r="84" spans="1:34" x14ac:dyDescent="0.25">
      <c r="A84" s="119" t="s">
        <v>12</v>
      </c>
      <c r="B84" s="84">
        <f>K117*Générale!$B$4</f>
        <v>1383</v>
      </c>
      <c r="C84" s="84">
        <f>L117*Générale!$B$4</f>
        <v>0</v>
      </c>
      <c r="D84" s="84">
        <f>M117*Générale!$B$4</f>
        <v>0</v>
      </c>
      <c r="E84" s="84">
        <f>N117*Générale!$B$4</f>
        <v>0</v>
      </c>
      <c r="J84" s="119" t="s">
        <v>12</v>
      </c>
      <c r="K84" s="134">
        <f t="shared" si="79"/>
        <v>3962</v>
      </c>
      <c r="L84" s="134">
        <f t="shared" si="69"/>
        <v>3176</v>
      </c>
      <c r="M84" s="134">
        <f t="shared" si="69"/>
        <v>6267</v>
      </c>
      <c r="N84" s="134">
        <f t="shared" si="69"/>
        <v>0</v>
      </c>
      <c r="O84" s="127">
        <f t="shared" si="70"/>
        <v>3351.25</v>
      </c>
      <c r="P84" s="127">
        <f t="shared" si="71"/>
        <v>2590.7658295055021</v>
      </c>
      <c r="Q84" s="127">
        <f t="shared" si="72"/>
        <v>2590.7658295055021</v>
      </c>
      <c r="S84" s="153" t="s">
        <v>12</v>
      </c>
      <c r="T84" s="77">
        <f t="shared" si="80"/>
        <v>1934.8000000000002</v>
      </c>
      <c r="U84" s="77">
        <f t="shared" si="73"/>
        <v>-3176</v>
      </c>
      <c r="V84" s="77">
        <f t="shared" si="73"/>
        <v>-6267</v>
      </c>
      <c r="W84" s="77"/>
      <c r="X84" s="166">
        <f t="shared" si="74"/>
        <v>-2502.7333333333331</v>
      </c>
      <c r="Y84" s="167">
        <f t="shared" si="75"/>
        <v>1934.8000000000002</v>
      </c>
      <c r="Z84" s="167">
        <f t="shared" si="76"/>
        <v>-6267</v>
      </c>
      <c r="AC84" s="119" t="s">
        <v>12</v>
      </c>
      <c r="AD84" s="77">
        <f t="shared" si="81"/>
        <v>-1934.8000000000002</v>
      </c>
      <c r="AE84" s="77">
        <f t="shared" si="77"/>
        <v>3176</v>
      </c>
      <c r="AF84" s="77">
        <f t="shared" si="77"/>
        <v>6267</v>
      </c>
      <c r="AG84" s="77"/>
      <c r="AH84" s="166">
        <f t="shared" si="78"/>
        <v>2502.7333333333331</v>
      </c>
    </row>
    <row r="85" spans="1:34" ht="15.75" thickBot="1" x14ac:dyDescent="0.3">
      <c r="A85" s="119" t="s">
        <v>13</v>
      </c>
      <c r="B85" s="114">
        <f>K118*Générale!$B$4</f>
        <v>558</v>
      </c>
      <c r="C85" s="114">
        <f>L118*Générale!$B$4</f>
        <v>0</v>
      </c>
      <c r="D85" s="114">
        <f>M118*Générale!$B$4</f>
        <v>1221</v>
      </c>
      <c r="E85" s="114">
        <f>N118*Générale!$B$4</f>
        <v>0</v>
      </c>
      <c r="J85" s="119" t="s">
        <v>13</v>
      </c>
      <c r="K85" s="134">
        <f t="shared" si="79"/>
        <v>3870</v>
      </c>
      <c r="L85" s="134">
        <f t="shared" si="69"/>
        <v>4276</v>
      </c>
      <c r="M85" s="134">
        <f t="shared" si="69"/>
        <v>4926</v>
      </c>
      <c r="N85" s="134">
        <f t="shared" si="69"/>
        <v>0</v>
      </c>
      <c r="O85" s="127">
        <f t="shared" si="70"/>
        <v>3268</v>
      </c>
      <c r="P85" s="127">
        <f t="shared" si="71"/>
        <v>2221.6552387803108</v>
      </c>
      <c r="Q85" s="127">
        <f t="shared" si="72"/>
        <v>2221.6552387803108</v>
      </c>
      <c r="S85" s="168" t="s">
        <v>13</v>
      </c>
      <c r="T85" s="77">
        <f t="shared" si="80"/>
        <v>1346</v>
      </c>
      <c r="U85" s="77">
        <f t="shared" si="73"/>
        <v>-4276</v>
      </c>
      <c r="V85" s="77">
        <f t="shared" si="73"/>
        <v>-3785.2</v>
      </c>
      <c r="W85" s="77"/>
      <c r="X85" s="166">
        <f t="shared" si="74"/>
        <v>-2238.4</v>
      </c>
      <c r="Y85" s="167">
        <f t="shared" si="75"/>
        <v>1346</v>
      </c>
      <c r="Z85" s="167">
        <f t="shared" si="76"/>
        <v>-4276</v>
      </c>
      <c r="AC85" s="139" t="s">
        <v>13</v>
      </c>
      <c r="AD85" s="77">
        <f t="shared" si="81"/>
        <v>-1346</v>
      </c>
      <c r="AE85" s="77">
        <f t="shared" si="77"/>
        <v>4276</v>
      </c>
      <c r="AF85" s="77">
        <f t="shared" si="77"/>
        <v>3785.2</v>
      </c>
      <c r="AG85" s="77"/>
      <c r="AH85" s="166">
        <f t="shared" si="78"/>
        <v>2238.4</v>
      </c>
    </row>
    <row r="86" spans="1:34" ht="16.5" thickTop="1" thickBot="1" x14ac:dyDescent="0.3">
      <c r="A86" s="128" t="s">
        <v>0</v>
      </c>
      <c r="B86" s="137">
        <f>SUM(B74:B85)</f>
        <v>178536</v>
      </c>
      <c r="C86" s="137">
        <f t="shared" ref="C86:D86" si="82">SUM(C74:C85)</f>
        <v>191238</v>
      </c>
      <c r="D86" s="137">
        <f t="shared" si="82"/>
        <v>207504</v>
      </c>
      <c r="E86" s="137">
        <f>SUM(E74:E85)</f>
        <v>204882</v>
      </c>
      <c r="J86" s="128" t="s">
        <v>0</v>
      </c>
      <c r="K86" s="129">
        <f t="shared" ref="K86:M86" si="83">SUM(K74:K85)</f>
        <v>72951</v>
      </c>
      <c r="L86" s="129">
        <f t="shared" si="83"/>
        <v>82417</v>
      </c>
      <c r="M86" s="129">
        <f t="shared" si="83"/>
        <v>93125</v>
      </c>
      <c r="N86" s="129">
        <f>SUM(N74:N85)</f>
        <v>87929</v>
      </c>
      <c r="S86" s="169" t="s">
        <v>0</v>
      </c>
      <c r="T86" s="170">
        <f>SUM(T74:T85)</f>
        <v>-13332.68</v>
      </c>
      <c r="U86" s="170">
        <f>SUM(U74:U85)</f>
        <v>-26876.2</v>
      </c>
      <c r="V86" s="170">
        <f>SUM(V74:V85)</f>
        <v>-40413.159999999996</v>
      </c>
      <c r="W86" s="170">
        <f>SUM(W74:W85)</f>
        <v>-33903.4</v>
      </c>
      <c r="X86" s="148"/>
      <c r="Y86" s="148"/>
      <c r="Z86" s="148"/>
      <c r="AC86" s="138" t="s">
        <v>0</v>
      </c>
      <c r="AD86" s="170">
        <f>SUM(AD74:AD85)</f>
        <v>13332.68</v>
      </c>
      <c r="AE86" s="170">
        <f>SUM(AE74:AE85)</f>
        <v>26876.2</v>
      </c>
      <c r="AF86" s="170">
        <f>SUM(AF74:AF85)</f>
        <v>40413.159999999996</v>
      </c>
      <c r="AG86" s="170">
        <f>SUM(AG74:AG85)</f>
        <v>33903.4</v>
      </c>
      <c r="AH86" s="148"/>
    </row>
    <row r="87" spans="1:34" ht="15.75" thickTop="1" x14ac:dyDescent="0.25">
      <c r="A87" s="136" t="s">
        <v>14</v>
      </c>
      <c r="B87" s="136"/>
      <c r="C87" s="136"/>
      <c r="D87" s="136"/>
      <c r="E87" s="136"/>
      <c r="J87" s="136" t="s">
        <v>14</v>
      </c>
      <c r="K87" s="136"/>
      <c r="L87" s="136"/>
      <c r="M87" s="136"/>
      <c r="N87" s="136"/>
      <c r="O87" s="136"/>
      <c r="P87" s="136"/>
      <c r="Q87" s="136"/>
    </row>
    <row r="88" spans="1:34" ht="15.75" thickBot="1" x14ac:dyDescent="0.3"/>
    <row r="89" spans="1:34" ht="17.25" thickTop="1" thickBot="1" x14ac:dyDescent="0.3">
      <c r="A89" s="140" t="s">
        <v>199</v>
      </c>
      <c r="B89" s="141"/>
      <c r="C89" s="141"/>
      <c r="D89" s="141"/>
      <c r="E89" s="141"/>
      <c r="F89" s="142"/>
      <c r="J89" s="140" t="s">
        <v>195</v>
      </c>
      <c r="K89" s="141"/>
      <c r="L89" s="141"/>
      <c r="M89" s="141"/>
      <c r="N89" s="141"/>
    </row>
    <row r="90" spans="1:34" ht="16.5" thickTop="1" x14ac:dyDescent="0.25">
      <c r="A90" s="124"/>
      <c r="B90" s="125">
        <v>2014</v>
      </c>
      <c r="C90" s="125">
        <v>2015</v>
      </c>
      <c r="D90" s="125">
        <v>2016</v>
      </c>
      <c r="E90" s="125">
        <v>2017</v>
      </c>
      <c r="J90" s="124"/>
      <c r="K90" s="125">
        <v>2014</v>
      </c>
      <c r="L90" s="125">
        <v>2015</v>
      </c>
      <c r="M90" s="125">
        <v>2016</v>
      </c>
      <c r="N90" s="125">
        <v>2017</v>
      </c>
    </row>
    <row r="91" spans="1:34" x14ac:dyDescent="0.25">
      <c r="A91" s="119" t="s">
        <v>2</v>
      </c>
      <c r="B91" s="84">
        <f>K91*Générale!$B$4</f>
        <v>783</v>
      </c>
      <c r="C91" s="84">
        <f>L91*Générale!$B$4</f>
        <v>1164</v>
      </c>
      <c r="D91" s="84">
        <f>M91*Générale!$B$4</f>
        <v>996</v>
      </c>
      <c r="E91" s="84">
        <f>N91*Générale!$B$4</f>
        <v>1614</v>
      </c>
      <c r="J91" s="119" t="s">
        <v>2</v>
      </c>
      <c r="K91" s="84">
        <v>261</v>
      </c>
      <c r="L91" s="84">
        <v>388</v>
      </c>
      <c r="M91" s="84">
        <v>332</v>
      </c>
      <c r="N91" s="84">
        <v>538</v>
      </c>
    </row>
    <row r="92" spans="1:34" x14ac:dyDescent="0.25">
      <c r="A92" s="119" t="s">
        <v>3</v>
      </c>
      <c r="B92" s="84">
        <f>K92*Générale!$B$4</f>
        <v>1494</v>
      </c>
      <c r="C92" s="84">
        <f>L92*Générale!$B$4</f>
        <v>1479</v>
      </c>
      <c r="D92" s="84">
        <f>M92*Générale!$B$4</f>
        <v>1566</v>
      </c>
      <c r="E92" s="84">
        <f>N92*Générale!$B$4</f>
        <v>2001</v>
      </c>
      <c r="J92" s="119" t="s">
        <v>3</v>
      </c>
      <c r="K92" s="84">
        <v>498</v>
      </c>
      <c r="L92" s="84">
        <v>493</v>
      </c>
      <c r="M92" s="84">
        <v>522</v>
      </c>
      <c r="N92" s="84">
        <v>667</v>
      </c>
    </row>
    <row r="93" spans="1:34" x14ac:dyDescent="0.25">
      <c r="A93" s="119" t="s">
        <v>4</v>
      </c>
      <c r="B93" s="84">
        <f>K93*Générale!$B$4</f>
        <v>2103</v>
      </c>
      <c r="C93" s="84">
        <f>L93*Générale!$B$4</f>
        <v>1542</v>
      </c>
      <c r="D93" s="84">
        <f>M93*Générale!$B$4</f>
        <v>1434</v>
      </c>
      <c r="E93" s="84">
        <f>N93*Générale!$B$4</f>
        <v>1728</v>
      </c>
      <c r="J93" s="119" t="s">
        <v>4</v>
      </c>
      <c r="K93" s="84">
        <v>701</v>
      </c>
      <c r="L93" s="84">
        <v>514</v>
      </c>
      <c r="M93" s="84">
        <v>478</v>
      </c>
      <c r="N93" s="84">
        <v>576</v>
      </c>
    </row>
    <row r="94" spans="1:34" x14ac:dyDescent="0.25">
      <c r="A94" s="119" t="s">
        <v>5</v>
      </c>
      <c r="B94" s="84">
        <f>K94*Générale!$B$4</f>
        <v>2745</v>
      </c>
      <c r="C94" s="84">
        <f>L94*Générale!$B$4</f>
        <v>3234</v>
      </c>
      <c r="D94" s="84">
        <f>M94*Générale!$B$4</f>
        <v>3531</v>
      </c>
      <c r="E94" s="84">
        <f>N94*Générale!$B$4</f>
        <v>3888</v>
      </c>
      <c r="J94" s="119" t="s">
        <v>5</v>
      </c>
      <c r="K94" s="84">
        <v>915</v>
      </c>
      <c r="L94" s="84">
        <v>1078</v>
      </c>
      <c r="M94" s="84">
        <v>1177</v>
      </c>
      <c r="N94" s="84">
        <v>1296</v>
      </c>
    </row>
    <row r="95" spans="1:34" x14ac:dyDescent="0.25">
      <c r="A95" s="119" t="s">
        <v>6</v>
      </c>
      <c r="B95" s="84">
        <f>K95*Générale!$B$4</f>
        <v>5124</v>
      </c>
      <c r="C95" s="84">
        <f>L95*Générale!$B$4</f>
        <v>4734</v>
      </c>
      <c r="D95" s="84">
        <f>M95*Générale!$B$4</f>
        <v>3936</v>
      </c>
      <c r="E95" s="84">
        <f>N95*Générale!$B$4</f>
        <v>3927</v>
      </c>
      <c r="J95" s="119" t="s">
        <v>6</v>
      </c>
      <c r="K95" s="84">
        <v>1708</v>
      </c>
      <c r="L95" s="84">
        <v>1578</v>
      </c>
      <c r="M95" s="84">
        <v>1312</v>
      </c>
      <c r="N95" s="84">
        <v>1309</v>
      </c>
    </row>
    <row r="96" spans="1:34" x14ac:dyDescent="0.25">
      <c r="A96" s="119" t="s">
        <v>7</v>
      </c>
      <c r="B96" s="84">
        <f>K96*Générale!$B$4</f>
        <v>4131</v>
      </c>
      <c r="C96" s="84">
        <f>L96*Générale!$B$4</f>
        <v>4068</v>
      </c>
      <c r="D96" s="84">
        <f>M96*Générale!$B$4</f>
        <v>4980</v>
      </c>
      <c r="E96" s="84">
        <f>N96*Générale!$B$4</f>
        <v>6246</v>
      </c>
      <c r="J96" s="119" t="s">
        <v>7</v>
      </c>
      <c r="K96" s="84">
        <v>1377</v>
      </c>
      <c r="L96" s="84">
        <v>1356</v>
      </c>
      <c r="M96" s="84">
        <v>1660</v>
      </c>
      <c r="N96" s="84">
        <v>2082</v>
      </c>
    </row>
    <row r="97" spans="1:14" x14ac:dyDescent="0.25">
      <c r="A97" s="119" t="s">
        <v>8</v>
      </c>
      <c r="B97" s="84">
        <f>K97*Générale!$B$4</f>
        <v>5886</v>
      </c>
      <c r="C97" s="84">
        <f>L97*Générale!$B$4</f>
        <v>5667</v>
      </c>
      <c r="D97" s="84">
        <f>M97*Générale!$B$4</f>
        <v>7158</v>
      </c>
      <c r="E97" s="84">
        <f>N97*Générale!$B$4</f>
        <v>6138</v>
      </c>
      <c r="J97" s="119" t="s">
        <v>8</v>
      </c>
      <c r="K97" s="84">
        <v>1962</v>
      </c>
      <c r="L97" s="84">
        <v>1889</v>
      </c>
      <c r="M97" s="84">
        <v>2386</v>
      </c>
      <c r="N97" s="84">
        <v>2046</v>
      </c>
    </row>
    <row r="98" spans="1:14" x14ac:dyDescent="0.25">
      <c r="A98" s="119" t="s">
        <v>9</v>
      </c>
      <c r="B98" s="84">
        <f>K98*Générale!$B$4</f>
        <v>12807</v>
      </c>
      <c r="C98" s="84">
        <f>L98*Générale!$B$4</f>
        <v>8613</v>
      </c>
      <c r="D98" s="84">
        <f>M98*Générale!$B$4</f>
        <v>7662</v>
      </c>
      <c r="E98" s="84">
        <f>N98*Générale!$B$4</f>
        <v>8964</v>
      </c>
      <c r="J98" s="119" t="s">
        <v>9</v>
      </c>
      <c r="K98" s="84">
        <v>4269</v>
      </c>
      <c r="L98" s="84">
        <v>2871</v>
      </c>
      <c r="M98" s="84">
        <v>2554</v>
      </c>
      <c r="N98" s="84">
        <v>2988</v>
      </c>
    </row>
    <row r="99" spans="1:14" x14ac:dyDescent="0.25">
      <c r="A99" s="119" t="s">
        <v>10</v>
      </c>
      <c r="B99" s="84">
        <f>K99*Générale!$B$4</f>
        <v>5694</v>
      </c>
      <c r="C99" s="84">
        <f>L99*Générale!$B$4</f>
        <v>5745</v>
      </c>
      <c r="D99" s="84">
        <f>M99*Générale!$B$4</f>
        <v>6003</v>
      </c>
      <c r="E99" s="84">
        <f>N99*Générale!$B$4</f>
        <v>7269</v>
      </c>
      <c r="J99" s="119" t="s">
        <v>10</v>
      </c>
      <c r="K99" s="84">
        <v>1898</v>
      </c>
      <c r="L99" s="84">
        <v>1915</v>
      </c>
      <c r="M99" s="84">
        <v>2001</v>
      </c>
      <c r="N99" s="84">
        <v>2423</v>
      </c>
    </row>
    <row r="100" spans="1:14" x14ac:dyDescent="0.25">
      <c r="A100" s="119" t="s">
        <v>11</v>
      </c>
      <c r="B100" s="84">
        <f>K100*Générale!$B$4</f>
        <v>4230</v>
      </c>
      <c r="C100" s="84">
        <f>L100*Générale!$B$4</f>
        <v>4728</v>
      </c>
      <c r="D100" s="84">
        <f>M100*Générale!$B$4</f>
        <v>4848</v>
      </c>
      <c r="E100" s="84">
        <f>N100*Générale!$B$4</f>
        <v>4884</v>
      </c>
      <c r="J100" s="119" t="s">
        <v>11</v>
      </c>
      <c r="K100" s="84">
        <v>1410</v>
      </c>
      <c r="L100" s="84">
        <v>1576</v>
      </c>
      <c r="M100" s="84">
        <v>1616</v>
      </c>
      <c r="N100" s="84">
        <v>1628</v>
      </c>
    </row>
    <row r="101" spans="1:14" x14ac:dyDescent="0.25">
      <c r="A101" s="119" t="s">
        <v>12</v>
      </c>
      <c r="B101" s="84">
        <f>K101*Générale!$B$4</f>
        <v>1590</v>
      </c>
      <c r="C101" s="84">
        <f>L101*Générale!$B$4</f>
        <v>1452</v>
      </c>
      <c r="D101" s="84">
        <f>M101*Générale!$B$4</f>
        <v>2400</v>
      </c>
      <c r="E101" s="84">
        <f>N101*Générale!$B$4</f>
        <v>0</v>
      </c>
      <c r="J101" s="119" t="s">
        <v>12</v>
      </c>
      <c r="K101" s="84">
        <v>530</v>
      </c>
      <c r="L101" s="84">
        <v>484</v>
      </c>
      <c r="M101" s="84">
        <v>800</v>
      </c>
      <c r="N101" s="84"/>
    </row>
    <row r="102" spans="1:14" ht="15.75" thickBot="1" x14ac:dyDescent="0.3">
      <c r="A102" s="119" t="s">
        <v>13</v>
      </c>
      <c r="B102" s="84">
        <f>K102*Générale!$B$4</f>
        <v>1764</v>
      </c>
      <c r="C102" s="84">
        <f>L102*Générale!$B$4</f>
        <v>1797</v>
      </c>
      <c r="D102" s="84">
        <f>M102*Générale!$B$4</f>
        <v>2781</v>
      </c>
      <c r="E102" s="84">
        <f>N102*Générale!$B$4</f>
        <v>0</v>
      </c>
      <c r="J102" s="119" t="s">
        <v>13</v>
      </c>
      <c r="K102" s="114">
        <v>588</v>
      </c>
      <c r="L102" s="114">
        <v>599</v>
      </c>
      <c r="M102" s="44">
        <v>927</v>
      </c>
      <c r="N102" s="44"/>
    </row>
    <row r="103" spans="1:14" ht="16.5" thickTop="1" thickBot="1" x14ac:dyDescent="0.3">
      <c r="A103" s="128" t="s">
        <v>0</v>
      </c>
      <c r="B103" s="137">
        <f>SUM(B91:B102)</f>
        <v>48351</v>
      </c>
      <c r="C103" s="137">
        <f t="shared" ref="C103:D103" si="84">SUM(C91:C102)</f>
        <v>44223</v>
      </c>
      <c r="D103" s="137">
        <f t="shared" si="84"/>
        <v>47295</v>
      </c>
      <c r="E103" s="137">
        <f>SUM(E91:E102)</f>
        <v>46659</v>
      </c>
      <c r="J103" s="128" t="s">
        <v>0</v>
      </c>
      <c r="K103" s="129">
        <f>SUM(K91:K102)</f>
        <v>16117</v>
      </c>
      <c r="L103" s="129">
        <f>SUM(L91:L102)</f>
        <v>14741</v>
      </c>
      <c r="M103" s="129">
        <f>SUM(M91:M102)</f>
        <v>15765</v>
      </c>
      <c r="N103" s="129">
        <f>SUM(N91:N102)</f>
        <v>15553</v>
      </c>
    </row>
    <row r="104" spans="1:14" ht="16.5" thickTop="1" thickBot="1" x14ac:dyDescent="0.3">
      <c r="A104" s="136" t="s">
        <v>14</v>
      </c>
      <c r="B104" s="136"/>
      <c r="C104" s="136"/>
      <c r="D104" s="136"/>
      <c r="E104" s="136"/>
    </row>
    <row r="105" spans="1:14" ht="17.25" thickTop="1" thickBot="1" x14ac:dyDescent="0.3">
      <c r="J105" s="140" t="s">
        <v>190</v>
      </c>
      <c r="K105" s="141"/>
      <c r="L105" s="141"/>
      <c r="M105" s="141"/>
      <c r="N105" s="141"/>
    </row>
    <row r="106" spans="1:14" ht="17.25" thickTop="1" thickBot="1" x14ac:dyDescent="0.3">
      <c r="A106" s="140" t="s">
        <v>187</v>
      </c>
      <c r="B106" s="142"/>
      <c r="J106" s="124"/>
      <c r="K106" s="125">
        <v>2014</v>
      </c>
      <c r="L106" s="125">
        <v>2015</v>
      </c>
      <c r="M106" s="125">
        <v>2016</v>
      </c>
      <c r="N106" s="125">
        <v>2017</v>
      </c>
    </row>
    <row r="107" spans="1:14" ht="16.5" thickTop="1" x14ac:dyDescent="0.25">
      <c r="A107" s="124"/>
      <c r="B107" s="125">
        <v>2014</v>
      </c>
      <c r="C107" s="125">
        <v>2015</v>
      </c>
      <c r="D107" s="125">
        <v>2016</v>
      </c>
      <c r="E107" s="125">
        <v>2017</v>
      </c>
      <c r="F107" s="126" t="s">
        <v>1</v>
      </c>
      <c r="G107" s="117" t="s">
        <v>18</v>
      </c>
      <c r="H107" s="117" t="s">
        <v>17</v>
      </c>
      <c r="J107" s="119" t="s">
        <v>2</v>
      </c>
      <c r="K107" s="84">
        <v>0</v>
      </c>
      <c r="L107" s="84">
        <v>56</v>
      </c>
      <c r="M107" s="84">
        <v>0</v>
      </c>
      <c r="N107" s="84">
        <v>200</v>
      </c>
    </row>
    <row r="108" spans="1:14" x14ac:dyDescent="0.25">
      <c r="A108" s="119" t="s">
        <v>2</v>
      </c>
      <c r="B108" s="134">
        <f>'ILE ROUSSE 2014'!BU4+'ILE ROUSSE 2014'!BU21</f>
        <v>0</v>
      </c>
      <c r="C108" s="134">
        <f>'ILE ROUSSE 2015'!BU4+'ILE ROUSSE 2015'!BU21</f>
        <v>798.56</v>
      </c>
      <c r="D108" s="134">
        <f>'ILE ROUSSE 2016'!BU4+'ILE ROUSSE 2016'!BU4</f>
        <v>0</v>
      </c>
      <c r="E108" s="134">
        <f>'ILE ROUSSE 2017'!BU4+'ILE ROUSSE 2017'!BU4</f>
        <v>798.56</v>
      </c>
      <c r="F108" s="127">
        <f t="shared" ref="F108:F119" si="85">AVERAGE(B108:E108)</f>
        <v>399.28</v>
      </c>
      <c r="G108" s="127">
        <f t="shared" ref="G108:G119" si="86">STDEVA(B108:E108)</f>
        <v>461.04883096406752</v>
      </c>
      <c r="H108" s="127">
        <f t="shared" ref="H108:H119" si="87">STDEVA(B108:E108)</f>
        <v>461.04883096406752</v>
      </c>
      <c r="J108" s="119" t="s">
        <v>3</v>
      </c>
      <c r="K108" s="84">
        <v>61</v>
      </c>
      <c r="L108" s="84">
        <v>170</v>
      </c>
      <c r="M108" s="84">
        <v>0</v>
      </c>
      <c r="N108" s="84">
        <v>194</v>
      </c>
    </row>
    <row r="109" spans="1:14" x14ac:dyDescent="0.25">
      <c r="A109" s="119" t="s">
        <v>3</v>
      </c>
      <c r="B109" s="134">
        <f>'ILE ROUSSE 2014'!BU5+'ILE ROUSSE 2014'!BU22</f>
        <v>798.56</v>
      </c>
      <c r="C109" s="134">
        <f>'ILE ROUSSE 2015'!BU5+'ILE ROUSSE 2015'!BU22</f>
        <v>3194.24</v>
      </c>
      <c r="D109" s="134">
        <f>'ILE ROUSSE 2016'!BU5+'ILE ROUSSE 2016'!BU5</f>
        <v>0</v>
      </c>
      <c r="E109" s="134">
        <f>'ILE ROUSSE 2017'!BU5+'ILE ROUSSE 2017'!BU5</f>
        <v>798.56</v>
      </c>
      <c r="F109" s="127">
        <f t="shared" si="85"/>
        <v>1197.8399999999999</v>
      </c>
      <c r="G109" s="127">
        <f t="shared" si="86"/>
        <v>1383.1464928922026</v>
      </c>
      <c r="H109" s="127">
        <f t="shared" si="87"/>
        <v>1383.1464928922026</v>
      </c>
      <c r="J109" s="119" t="s">
        <v>4</v>
      </c>
      <c r="K109" s="84">
        <v>0</v>
      </c>
      <c r="L109" s="84">
        <v>82</v>
      </c>
      <c r="M109" s="84">
        <v>0</v>
      </c>
      <c r="N109" s="84">
        <v>0</v>
      </c>
    </row>
    <row r="110" spans="1:14" x14ac:dyDescent="0.25">
      <c r="A110" s="119" t="s">
        <v>4</v>
      </c>
      <c r="B110" s="134">
        <f>'ILE ROUSSE 2014'!BU6+'ILE ROUSSE 2014'!BU23</f>
        <v>0</v>
      </c>
      <c r="C110" s="134">
        <f>'ILE ROUSSE 2015'!BU6+'ILE ROUSSE 2015'!BU23</f>
        <v>1597.12</v>
      </c>
      <c r="D110" s="134">
        <f>'ILE ROUSSE 2016'!BU6+'ILE ROUSSE 2016'!BU6</f>
        <v>0</v>
      </c>
      <c r="E110" s="134">
        <f>'ILE ROUSSE 2017'!BU6+'ILE ROUSSE 2017'!BU6</f>
        <v>0</v>
      </c>
      <c r="F110" s="127">
        <f t="shared" si="85"/>
        <v>399.28</v>
      </c>
      <c r="G110" s="127">
        <f t="shared" si="86"/>
        <v>798.56</v>
      </c>
      <c r="H110" s="127">
        <f t="shared" si="87"/>
        <v>798.56</v>
      </c>
      <c r="J110" s="119" t="s">
        <v>5</v>
      </c>
      <c r="K110" s="84">
        <v>2042</v>
      </c>
      <c r="L110" s="84">
        <v>1879</v>
      </c>
      <c r="M110" s="84">
        <v>4015</v>
      </c>
      <c r="N110" s="84">
        <v>4561</v>
      </c>
    </row>
    <row r="111" spans="1:14" x14ac:dyDescent="0.25">
      <c r="A111" s="119" t="s">
        <v>5</v>
      </c>
      <c r="B111" s="134">
        <f>'ILE ROUSSE 2014'!BU7+'ILE ROUSSE 2014'!BU24</f>
        <v>7757.44</v>
      </c>
      <c r="C111" s="134">
        <f>'ILE ROUSSE 2015'!BU7+'ILE ROUSSE 2015'!BU24</f>
        <v>6787.7599999999993</v>
      </c>
      <c r="D111" s="134">
        <f>'ILE ROUSSE 2016'!BU7+'ILE ROUSSE 2016'!BU7</f>
        <v>17454.239999999998</v>
      </c>
      <c r="E111" s="134">
        <f>'ILE ROUSSE 2017'!BU7+'ILE ROUSSE 2017'!BU7</f>
        <v>15514.88</v>
      </c>
      <c r="F111" s="127">
        <f t="shared" si="85"/>
        <v>11878.579999999998</v>
      </c>
      <c r="G111" s="127">
        <f t="shared" si="86"/>
        <v>5391.6882111140922</v>
      </c>
      <c r="H111" s="127">
        <f t="shared" si="87"/>
        <v>5391.6882111140922</v>
      </c>
      <c r="J111" s="119" t="s">
        <v>6</v>
      </c>
      <c r="K111" s="84">
        <v>5423</v>
      </c>
      <c r="L111" s="84">
        <v>3513</v>
      </c>
      <c r="M111" s="84">
        <v>3864</v>
      </c>
      <c r="N111" s="84">
        <v>6288</v>
      </c>
    </row>
    <row r="112" spans="1:14" x14ac:dyDescent="0.25">
      <c r="A112" s="119" t="s">
        <v>6</v>
      </c>
      <c r="B112" s="134">
        <f>'ILE ROUSSE 2014'!BU8+'ILE ROUSSE 2014'!BU25</f>
        <v>19393.599999999999</v>
      </c>
      <c r="C112" s="134">
        <f>'ILE ROUSSE 2015'!BU8+'ILE ROUSSE 2015'!BU25</f>
        <v>13575.519999999999</v>
      </c>
      <c r="D112" s="134">
        <f>'ILE ROUSSE 2016'!BU8+'ILE ROUSSE 2016'!BU8</f>
        <v>11636.16</v>
      </c>
      <c r="E112" s="134">
        <f>'ILE ROUSSE 2017'!BU8+'ILE ROUSSE 2017'!BU8</f>
        <v>19393.599999999999</v>
      </c>
      <c r="F112" s="127">
        <f t="shared" si="85"/>
        <v>15999.72</v>
      </c>
      <c r="G112" s="127">
        <f t="shared" si="86"/>
        <v>3998.0930630489229</v>
      </c>
      <c r="H112" s="127">
        <f t="shared" si="87"/>
        <v>3998.0930630489229</v>
      </c>
      <c r="J112" s="119" t="s">
        <v>7</v>
      </c>
      <c r="K112" s="84">
        <v>6531</v>
      </c>
      <c r="L112" s="84">
        <v>6438</v>
      </c>
      <c r="M112" s="84">
        <v>8503</v>
      </c>
      <c r="N112" s="84">
        <v>7642</v>
      </c>
    </row>
    <row r="113" spans="1:14" x14ac:dyDescent="0.25">
      <c r="A113" s="119" t="s">
        <v>7</v>
      </c>
      <c r="B113" s="134">
        <f>'ILE ROUSSE 2014'!BU9+'ILE ROUSSE 2014'!BU26</f>
        <v>18423.919999999998</v>
      </c>
      <c r="C113" s="134">
        <f>'ILE ROUSSE 2015'!BU9+'ILE ROUSSE 2015'!BU26</f>
        <v>24242</v>
      </c>
      <c r="D113" s="134">
        <f>'ILE ROUSSE 2016'!BU9+'ILE ROUSSE 2016'!BU9</f>
        <v>25211.679999999997</v>
      </c>
      <c r="E113" s="134">
        <f>'ILE ROUSSE 2017'!BU9+'ILE ROUSSE 2017'!BU9</f>
        <v>21332.959999999995</v>
      </c>
      <c r="F113" s="127">
        <f t="shared" si="85"/>
        <v>22302.639999999996</v>
      </c>
      <c r="G113" s="127">
        <f t="shared" si="86"/>
        <v>3066.3974015121144</v>
      </c>
      <c r="H113" s="127">
        <f t="shared" si="87"/>
        <v>3066.3974015121144</v>
      </c>
      <c r="J113" s="119" t="s">
        <v>8</v>
      </c>
      <c r="K113" s="84">
        <v>15852</v>
      </c>
      <c r="L113" s="84">
        <v>17154</v>
      </c>
      <c r="M113" s="84">
        <v>17077</v>
      </c>
      <c r="N113" s="84">
        <v>17732</v>
      </c>
    </row>
    <row r="114" spans="1:14" x14ac:dyDescent="0.25">
      <c r="A114" s="119" t="s">
        <v>8</v>
      </c>
      <c r="B114" s="134">
        <f>'ILE ROUSSE 2014'!BU10+'ILE ROUSSE 2014'!BU27</f>
        <v>53332.399999999994</v>
      </c>
      <c r="C114" s="134">
        <f>'ILE ROUSSE 2015'!BU10+'ILE ROUSSE 2015'!BU27</f>
        <v>54302.079999999994</v>
      </c>
      <c r="D114" s="134">
        <f>'ILE ROUSSE 2016'!BU10+'ILE ROUSSE 2016'!BU10</f>
        <v>58180.799999999996</v>
      </c>
      <c r="E114" s="134">
        <f>'ILE ROUSSE 2017'!BU10+'ILE ROUSSE 2017'!BU10</f>
        <v>46544.639999999992</v>
      </c>
      <c r="F114" s="127">
        <f t="shared" si="85"/>
        <v>53089.979999999989</v>
      </c>
      <c r="G114" s="127">
        <f t="shared" si="86"/>
        <v>4840.3125881978613</v>
      </c>
      <c r="H114" s="127">
        <f t="shared" si="87"/>
        <v>4840.3125881978613</v>
      </c>
      <c r="J114" s="119" t="s">
        <v>9</v>
      </c>
      <c r="K114" s="84">
        <v>21851</v>
      </c>
      <c r="L114" s="84">
        <v>27089</v>
      </c>
      <c r="M114" s="84">
        <v>22159</v>
      </c>
      <c r="N114" s="84">
        <v>19573</v>
      </c>
    </row>
    <row r="115" spans="1:14" x14ac:dyDescent="0.25">
      <c r="A115" s="119" t="s">
        <v>9</v>
      </c>
      <c r="B115" s="134">
        <f>'ILE ROUSSE 2014'!BU11+'ILE ROUSSE 2014'!BU28</f>
        <v>53332.399999999994</v>
      </c>
      <c r="C115" s="134">
        <f>'ILE ROUSSE 2015'!BU11+'ILE ROUSSE 2015'!BU28</f>
        <v>68847.28</v>
      </c>
      <c r="D115" s="134">
        <f>'ILE ROUSSE 2016'!BU11+'ILE ROUSSE 2016'!BU11</f>
        <v>56241.439999999995</v>
      </c>
      <c r="E115" s="134">
        <f>'ILE ROUSSE 2017'!BU11+'ILE ROUSSE 2017'!BU11</f>
        <v>46544.639999999992</v>
      </c>
      <c r="F115" s="127">
        <f t="shared" si="85"/>
        <v>56241.439999999995</v>
      </c>
      <c r="G115" s="127">
        <f t="shared" si="86"/>
        <v>9334.481704361875</v>
      </c>
      <c r="H115" s="127">
        <f t="shared" si="87"/>
        <v>9334.481704361875</v>
      </c>
      <c r="J115" s="119" t="s">
        <v>10</v>
      </c>
      <c r="K115" s="84">
        <v>6143</v>
      </c>
      <c r="L115" s="84">
        <v>6571</v>
      </c>
      <c r="M115" s="84">
        <v>10750</v>
      </c>
      <c r="N115" s="84">
        <v>9877</v>
      </c>
    </row>
    <row r="116" spans="1:14" x14ac:dyDescent="0.25">
      <c r="A116" s="119" t="s">
        <v>10</v>
      </c>
      <c r="B116" s="134">
        <f>'ILE ROUSSE 2014'!BU12+'ILE ROUSSE 2014'!BU29</f>
        <v>15514.880000000001</v>
      </c>
      <c r="C116" s="134">
        <f>'ILE ROUSSE 2015'!BU12+'ILE ROUSSE 2015'!BU29</f>
        <v>15514.88</v>
      </c>
      <c r="D116" s="134">
        <f>'ILE ROUSSE 2016'!BU12+'ILE ROUSSE 2016'!BU12</f>
        <v>31029.759999999991</v>
      </c>
      <c r="E116" s="134">
        <f>'ILE ROUSSE 2017'!BU12+'ILE ROUSSE 2017'!BU12</f>
        <v>25211.68</v>
      </c>
      <c r="F116" s="127">
        <f t="shared" si="85"/>
        <v>21817.799999999996</v>
      </c>
      <c r="G116" s="127">
        <f t="shared" si="86"/>
        <v>7655.7653557912427</v>
      </c>
      <c r="H116" s="127">
        <f t="shared" si="87"/>
        <v>7655.7653557912427</v>
      </c>
      <c r="J116" s="119" t="s">
        <v>11</v>
      </c>
      <c r="K116" s="84">
        <v>962</v>
      </c>
      <c r="L116" s="84">
        <v>794</v>
      </c>
      <c r="M116" s="84">
        <v>2393</v>
      </c>
      <c r="N116" s="84">
        <v>2227</v>
      </c>
    </row>
    <row r="117" spans="1:14" x14ac:dyDescent="0.25">
      <c r="A117" s="119" t="s">
        <v>11</v>
      </c>
      <c r="B117" s="134">
        <f>'ILE ROUSSE 2014'!BU13+'ILE ROUSSE 2014'!BU30</f>
        <v>5818.079999999999</v>
      </c>
      <c r="C117" s="134">
        <f>'ILE ROUSSE 2015'!BU13+'ILE ROUSSE 2015'!BU30</f>
        <v>1939.36</v>
      </c>
      <c r="D117" s="134">
        <f>'ILE ROUSSE 2016'!BU13+'ILE ROUSSE 2016'!BU13</f>
        <v>7757.44</v>
      </c>
      <c r="E117" s="134">
        <f>'ILE ROUSSE 2017'!BU13+'ILE ROUSSE 2017'!BU13</f>
        <v>7757.44</v>
      </c>
      <c r="F117" s="127">
        <f t="shared" si="85"/>
        <v>5818.079999999999</v>
      </c>
      <c r="G117" s="127">
        <f t="shared" si="86"/>
        <v>2742.6692143238861</v>
      </c>
      <c r="H117" s="127">
        <f t="shared" si="87"/>
        <v>2742.6692143238861</v>
      </c>
      <c r="J117" s="119" t="s">
        <v>12</v>
      </c>
      <c r="K117" s="84">
        <v>461</v>
      </c>
      <c r="L117" s="84">
        <v>0</v>
      </c>
      <c r="M117" s="84">
        <v>0</v>
      </c>
      <c r="N117" s="84"/>
    </row>
    <row r="118" spans="1:14" ht="15.75" thickBot="1" x14ac:dyDescent="0.3">
      <c r="A118" s="119" t="s">
        <v>12</v>
      </c>
      <c r="B118" s="134">
        <f>'ILE ROUSSE 2014'!BU14+'ILE ROUSSE 2014'!BU31</f>
        <v>3992.7999999999997</v>
      </c>
      <c r="C118" s="134">
        <f>'ILE ROUSSE 2015'!BU14+'ILE ROUSSE 2015'!BU31</f>
        <v>0</v>
      </c>
      <c r="D118" s="134">
        <f>'ILE ROUSSE 2016'!BU14+'ILE ROUSSE 2016'!BU14</f>
        <v>0</v>
      </c>
      <c r="E118" s="134">
        <f>'ILE ROUSSE 2017'!BU14+'ILE ROUSSE 2017'!BU14</f>
        <v>0</v>
      </c>
      <c r="F118" s="127">
        <f t="shared" si="85"/>
        <v>998.19999999999993</v>
      </c>
      <c r="G118" s="127">
        <f t="shared" si="86"/>
        <v>1996.3999999999999</v>
      </c>
      <c r="H118" s="127">
        <f t="shared" si="87"/>
        <v>1996.3999999999999</v>
      </c>
      <c r="J118" s="119" t="s">
        <v>13</v>
      </c>
      <c r="K118" s="114">
        <v>186</v>
      </c>
      <c r="L118" s="114">
        <v>0</v>
      </c>
      <c r="M118" s="44">
        <v>407</v>
      </c>
      <c r="N118" s="84"/>
    </row>
    <row r="119" spans="1:14" ht="16.5" thickTop="1" thickBot="1" x14ac:dyDescent="0.3">
      <c r="A119" s="119" t="s">
        <v>13</v>
      </c>
      <c r="B119" s="134">
        <f>'ILE ROUSSE 2014'!BU15+'ILE ROUSSE 2014'!BU32</f>
        <v>3194.24</v>
      </c>
      <c r="C119" s="134">
        <f>'ILE ROUSSE 2015'!BU15+'ILE ROUSSE 2015'!BU32</f>
        <v>0</v>
      </c>
      <c r="D119" s="134">
        <f>'ILE ROUSSE 2016'!BU15+'ILE ROUSSE 2016'!BU15</f>
        <v>1597.12</v>
      </c>
      <c r="E119" s="134">
        <f>'ILE ROUSSE 2017'!BU15+'ILE ROUSSE 2017'!BU15</f>
        <v>0</v>
      </c>
      <c r="F119" s="127">
        <f t="shared" si="85"/>
        <v>1197.8399999999999</v>
      </c>
      <c r="G119" s="127">
        <f t="shared" si="86"/>
        <v>1529.1259823398027</v>
      </c>
      <c r="H119" s="127">
        <f t="shared" si="87"/>
        <v>1529.1259823398027</v>
      </c>
      <c r="J119" s="128" t="s">
        <v>0</v>
      </c>
      <c r="K119" s="129">
        <f>SUM(K107:K118)</f>
        <v>59512</v>
      </c>
      <c r="L119" s="129">
        <f>SUM(L107:L118)</f>
        <v>63746</v>
      </c>
      <c r="M119" s="129">
        <f>SUM(M107:M118)</f>
        <v>69168</v>
      </c>
      <c r="N119" s="129">
        <f>SUM(N107:N118)</f>
        <v>68294</v>
      </c>
    </row>
    <row r="120" spans="1:14" ht="16.5" thickTop="1" thickBot="1" x14ac:dyDescent="0.3">
      <c r="A120" s="128" t="s">
        <v>0</v>
      </c>
      <c r="B120" s="129">
        <f t="shared" ref="B120:D120" si="88">SUM(B108:B119)</f>
        <v>181558.31999999995</v>
      </c>
      <c r="C120" s="129">
        <f t="shared" si="88"/>
        <v>190798.8</v>
      </c>
      <c r="D120" s="129">
        <f t="shared" si="88"/>
        <v>209108.63999999996</v>
      </c>
      <c r="E120" s="129">
        <f>SUM(E108:E119)</f>
        <v>183896.95999999996</v>
      </c>
      <c r="F120" s="111"/>
      <c r="G120" s="112"/>
      <c r="H120" s="112"/>
    </row>
    <row r="121" spans="1:14" ht="15.75" thickTop="1" x14ac:dyDescent="0.25">
      <c r="A121" s="136" t="s">
        <v>72</v>
      </c>
      <c r="B121" s="136"/>
      <c r="C121" s="136"/>
      <c r="D121" s="136"/>
      <c r="E121" s="136"/>
      <c r="F121" s="127"/>
    </row>
    <row r="122" spans="1:14" x14ac:dyDescent="0.25">
      <c r="A122" s="130" t="s">
        <v>15</v>
      </c>
      <c r="B122" s="127">
        <f t="shared" ref="B122:E122" si="89">AVERAGE(B108:B110,B117:B119)</f>
        <v>2300.6133333333332</v>
      </c>
      <c r="C122" s="127">
        <f t="shared" si="89"/>
        <v>1254.8799999999999</v>
      </c>
      <c r="D122" s="127">
        <f t="shared" si="89"/>
        <v>1559.0933333333332</v>
      </c>
      <c r="E122" s="127">
        <f t="shared" si="89"/>
        <v>1559.0933333333332</v>
      </c>
      <c r="F122" s="127">
        <f>AVERAGE(B122:D122)</f>
        <v>1704.862222222222</v>
      </c>
      <c r="G122" s="122"/>
      <c r="H122" s="131"/>
    </row>
    <row r="123" spans="1:14" x14ac:dyDescent="0.25">
      <c r="A123" s="130" t="s">
        <v>16</v>
      </c>
      <c r="B123" s="127">
        <f t="shared" ref="B123:E123" si="90">AVERAGE(B111:B116)</f>
        <v>27959.106666666663</v>
      </c>
      <c r="C123" s="127">
        <f t="shared" si="90"/>
        <v>30544.92</v>
      </c>
      <c r="D123" s="127">
        <f t="shared" si="90"/>
        <v>33292.346666666657</v>
      </c>
      <c r="E123" s="127">
        <f t="shared" si="90"/>
        <v>29090.399999999994</v>
      </c>
      <c r="F123" s="127">
        <f>AVERAGE(B123:D123)</f>
        <v>30598.791111111106</v>
      </c>
      <c r="G123" s="122"/>
    </row>
    <row r="124" spans="1:14" ht="15.75" thickBot="1" x14ac:dyDescent="0.3"/>
    <row r="125" spans="1:14" ht="17.25" thickTop="1" thickBot="1" x14ac:dyDescent="0.3">
      <c r="A125" s="140" t="s">
        <v>138</v>
      </c>
      <c r="B125" s="141"/>
      <c r="C125" s="141"/>
      <c r="D125" s="141"/>
      <c r="E125" s="141"/>
      <c r="G125" s="122">
        <f>B127/B144</f>
        <v>0.14173228346456693</v>
      </c>
      <c r="H125" s="122">
        <f>C127/C144</f>
        <v>0.22791293213828426</v>
      </c>
      <c r="J125" s="140" t="s">
        <v>188</v>
      </c>
      <c r="K125" s="141"/>
      <c r="L125" s="141"/>
      <c r="M125" s="141"/>
      <c r="N125" s="141"/>
    </row>
    <row r="126" spans="1:14" ht="16.5" thickTop="1" x14ac:dyDescent="0.25">
      <c r="A126" s="124"/>
      <c r="B126" s="125">
        <v>2014</v>
      </c>
      <c r="C126" s="125">
        <v>2015</v>
      </c>
      <c r="D126" s="125">
        <v>2016</v>
      </c>
      <c r="E126" s="125">
        <v>2017</v>
      </c>
      <c r="G126" s="122">
        <f>B128/B145</f>
        <v>0.12506012506012507</v>
      </c>
      <c r="H126" s="122">
        <f>C128/C145</f>
        <v>0.37204724409448819</v>
      </c>
      <c r="J126" s="124"/>
      <c r="K126" s="125">
        <v>2014</v>
      </c>
      <c r="L126" s="125">
        <v>2015</v>
      </c>
      <c r="M126" s="125">
        <v>2016</v>
      </c>
      <c r="N126" s="125">
        <v>2017</v>
      </c>
    </row>
    <row r="127" spans="1:14" x14ac:dyDescent="0.25">
      <c r="A127" s="119" t="s">
        <v>2</v>
      </c>
      <c r="B127" s="77">
        <f>K127*Générale!$B$4</f>
        <v>324</v>
      </c>
      <c r="C127" s="77">
        <f>L127*Générale!$B$4</f>
        <v>534</v>
      </c>
      <c r="D127" s="77">
        <f>M127*Générale!$B$4</f>
        <v>495</v>
      </c>
      <c r="E127" s="77">
        <f>N127*Générale!$B$4</f>
        <v>996</v>
      </c>
      <c r="G127" s="122">
        <f t="shared" ref="G127:G136" si="91">B129/B146</f>
        <v>0.48687664041994749</v>
      </c>
      <c r="H127" s="122"/>
      <c r="J127" s="119" t="s">
        <v>2</v>
      </c>
      <c r="K127" s="77">
        <v>108</v>
      </c>
      <c r="L127" s="77">
        <v>178</v>
      </c>
      <c r="M127" s="83">
        <v>165</v>
      </c>
      <c r="N127" s="191">
        <v>332</v>
      </c>
    </row>
    <row r="128" spans="1:14" x14ac:dyDescent="0.25">
      <c r="A128" s="119" t="s">
        <v>3</v>
      </c>
      <c r="B128" s="77">
        <f>K128*Générale!$B$4</f>
        <v>780</v>
      </c>
      <c r="C128" s="77">
        <f>L128*Générale!$B$4</f>
        <v>1134</v>
      </c>
      <c r="D128" s="77">
        <f>M128*Générale!$B$4</f>
        <v>855</v>
      </c>
      <c r="E128" s="77">
        <f>N128*Générale!$B$4</f>
        <v>1107</v>
      </c>
      <c r="G128" s="122">
        <f t="shared" si="91"/>
        <v>0.49914059814369199</v>
      </c>
      <c r="H128" s="122">
        <f t="shared" ref="H128:H133" si="92">C130/C147</f>
        <v>0.25196850393700787</v>
      </c>
      <c r="J128" s="119" t="s">
        <v>3</v>
      </c>
      <c r="K128" s="83">
        <v>260</v>
      </c>
      <c r="L128" s="77">
        <v>378</v>
      </c>
      <c r="M128" s="83">
        <v>285</v>
      </c>
      <c r="N128" s="191">
        <v>369</v>
      </c>
    </row>
    <row r="129" spans="1:28" x14ac:dyDescent="0.25">
      <c r="A129" s="119" t="s">
        <v>4</v>
      </c>
      <c r="B129" s="77">
        <f>K129*Générale!$B$4</f>
        <v>1113</v>
      </c>
      <c r="C129" s="77">
        <f>L129*Générale!$B$4</f>
        <v>0</v>
      </c>
      <c r="D129" s="77">
        <f>M129*Générale!$B$4</f>
        <v>612</v>
      </c>
      <c r="E129" s="77">
        <f>N129*Générale!$B$4</f>
        <v>1521</v>
      </c>
      <c r="G129" s="122">
        <f t="shared" si="91"/>
        <v>0.60539877300613498</v>
      </c>
      <c r="H129" s="122">
        <f t="shared" si="92"/>
        <v>0.65740097289784571</v>
      </c>
      <c r="J129" s="119" t="s">
        <v>4</v>
      </c>
      <c r="K129" s="117">
        <v>371</v>
      </c>
      <c r="L129" s="77">
        <v>0</v>
      </c>
      <c r="M129" s="83">
        <v>204</v>
      </c>
      <c r="N129" s="191">
        <v>507</v>
      </c>
    </row>
    <row r="130" spans="1:28" x14ac:dyDescent="0.25">
      <c r="A130" s="119" t="s">
        <v>5</v>
      </c>
      <c r="B130" s="77">
        <f>K130*Générale!$B$4</f>
        <v>4356</v>
      </c>
      <c r="C130" s="77">
        <f>L130*Générale!$B$4</f>
        <v>1344</v>
      </c>
      <c r="D130" s="77">
        <f>M130*Générale!$B$4</f>
        <v>2514</v>
      </c>
      <c r="E130" s="77">
        <f>N130*Générale!$B$4</f>
        <v>0</v>
      </c>
      <c r="G130" s="122">
        <f t="shared" si="91"/>
        <v>0.40884353741496599</v>
      </c>
      <c r="H130" s="122">
        <f t="shared" si="92"/>
        <v>0.37290758193838797</v>
      </c>
      <c r="J130" s="119" t="s">
        <v>5</v>
      </c>
      <c r="K130" s="77">
        <v>1452</v>
      </c>
      <c r="L130" s="77">
        <v>448</v>
      </c>
      <c r="M130" s="83">
        <v>838</v>
      </c>
      <c r="N130" s="191">
        <v>0</v>
      </c>
    </row>
    <row r="131" spans="1:28" x14ac:dyDescent="0.25">
      <c r="A131" s="119" t="s">
        <v>6</v>
      </c>
      <c r="B131" s="77">
        <f>K131*Générale!$B$4</f>
        <v>7401</v>
      </c>
      <c r="C131" s="77">
        <f>L131*Générale!$B$4</f>
        <v>2838</v>
      </c>
      <c r="D131" s="77">
        <f>M131*Générale!$B$4</f>
        <v>0</v>
      </c>
      <c r="E131" s="77">
        <f>N131*Générale!$B$4</f>
        <v>420</v>
      </c>
      <c r="G131" s="122">
        <f t="shared" si="91"/>
        <v>0.48097220877311903</v>
      </c>
      <c r="H131" s="122">
        <f t="shared" si="92"/>
        <v>0.59145850120870269</v>
      </c>
      <c r="J131" s="119" t="s">
        <v>6</v>
      </c>
      <c r="K131" s="77">
        <v>2467</v>
      </c>
      <c r="L131" s="77">
        <v>946</v>
      </c>
      <c r="M131" s="83">
        <v>0</v>
      </c>
      <c r="N131" s="191">
        <v>140</v>
      </c>
    </row>
    <row r="132" spans="1:28" x14ac:dyDescent="0.25">
      <c r="A132" s="119" t="s">
        <v>7</v>
      </c>
      <c r="B132" s="77">
        <f>K132*Générale!$B$4</f>
        <v>16227</v>
      </c>
      <c r="C132" s="77">
        <f>L132*Générale!$B$4</f>
        <v>7953</v>
      </c>
      <c r="D132" s="77">
        <f>M132*Générale!$B$4</f>
        <v>3465</v>
      </c>
      <c r="E132" s="77">
        <f>N132*Générale!$B$4</f>
        <v>11751</v>
      </c>
      <c r="G132" s="122">
        <f t="shared" si="91"/>
        <v>0.70414023013227234</v>
      </c>
      <c r="H132" s="122">
        <f t="shared" si="92"/>
        <v>0.71916859122401844</v>
      </c>
      <c r="J132" s="119" t="s">
        <v>7</v>
      </c>
      <c r="K132" s="77">
        <v>5409</v>
      </c>
      <c r="L132" s="77">
        <v>2651</v>
      </c>
      <c r="M132" s="83">
        <v>1155</v>
      </c>
      <c r="N132" s="191">
        <v>3917</v>
      </c>
    </row>
    <row r="133" spans="1:28" x14ac:dyDescent="0.25">
      <c r="A133" s="119" t="s">
        <v>8</v>
      </c>
      <c r="B133" s="77">
        <f>K133*Générale!$B$4</f>
        <v>59604</v>
      </c>
      <c r="C133" s="77">
        <f>L133*Générale!$B$4</f>
        <v>50646</v>
      </c>
      <c r="D133" s="77">
        <f>M133*Générale!$B$4</f>
        <v>28704</v>
      </c>
      <c r="E133" s="77">
        <f>N133*Générale!$B$4</f>
        <v>26937</v>
      </c>
      <c r="G133" s="122">
        <f t="shared" si="91"/>
        <v>0.64161781251850536</v>
      </c>
      <c r="H133" s="122">
        <f t="shared" si="92"/>
        <v>0.56244696443724451</v>
      </c>
      <c r="J133" s="119" t="s">
        <v>8</v>
      </c>
      <c r="K133" s="77">
        <v>19868</v>
      </c>
      <c r="L133" s="77">
        <v>16882</v>
      </c>
      <c r="M133" s="83">
        <v>9568</v>
      </c>
      <c r="N133" s="191">
        <v>8979</v>
      </c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 x14ac:dyDescent="0.25">
      <c r="A134" s="119" t="s">
        <v>9</v>
      </c>
      <c r="B134" s="77">
        <f>K134*Générale!$B$4</f>
        <v>98217</v>
      </c>
      <c r="C134" s="77">
        <f>L134*Générale!$B$4</f>
        <v>93420</v>
      </c>
      <c r="D134" s="77">
        <f>M134*Générale!$B$4</f>
        <v>71373</v>
      </c>
      <c r="E134" s="77">
        <f>N134*Générale!$B$4</f>
        <v>62259</v>
      </c>
      <c r="G134" s="122">
        <f t="shared" si="91"/>
        <v>0.60433070866141736</v>
      </c>
      <c r="H134" s="122"/>
      <c r="J134" s="119" t="s">
        <v>9</v>
      </c>
      <c r="K134" s="77">
        <v>32739</v>
      </c>
      <c r="L134" s="77">
        <v>31140</v>
      </c>
      <c r="M134" s="83">
        <v>23791</v>
      </c>
      <c r="N134" s="191">
        <v>20753</v>
      </c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 x14ac:dyDescent="0.25">
      <c r="A135" s="119" t="s">
        <v>10</v>
      </c>
      <c r="B135" s="77">
        <f>K135*Générale!$B$4</f>
        <v>32505</v>
      </c>
      <c r="C135" s="77">
        <f>L135*Générale!$B$4</f>
        <v>21873</v>
      </c>
      <c r="D135" s="77">
        <f>M135*Générale!$B$4</f>
        <v>15309</v>
      </c>
      <c r="E135" s="77">
        <f>N135*Générale!$B$4</f>
        <v>19032</v>
      </c>
      <c r="G135" s="122">
        <f t="shared" si="91"/>
        <v>0.13233923578751164</v>
      </c>
      <c r="H135" s="122">
        <f>C137/C154</f>
        <v>0.36148346738159071</v>
      </c>
      <c r="J135" s="119" t="s">
        <v>10</v>
      </c>
      <c r="K135" s="77">
        <v>10835</v>
      </c>
      <c r="L135" s="77">
        <v>7291</v>
      </c>
      <c r="M135" s="83">
        <v>5103</v>
      </c>
      <c r="N135" s="191">
        <v>6344</v>
      </c>
      <c r="Q135"/>
      <c r="R135"/>
      <c r="S135"/>
      <c r="T135"/>
      <c r="U135"/>
      <c r="V135"/>
      <c r="W135"/>
      <c r="X135"/>
      <c r="Y135"/>
      <c r="Z135"/>
      <c r="AA135"/>
      <c r="AB135"/>
    </row>
    <row r="136" spans="1:28" x14ac:dyDescent="0.25">
      <c r="A136" s="119" t="s">
        <v>11</v>
      </c>
      <c r="B136" s="77">
        <f>K136*Générale!$B$4</f>
        <v>1842</v>
      </c>
      <c r="C136" s="77">
        <f>L136*Générale!$B$4</f>
        <v>0</v>
      </c>
      <c r="D136" s="77">
        <f>M136*Générale!$B$4</f>
        <v>0</v>
      </c>
      <c r="E136" s="77">
        <f>N136*Générale!$B$4</f>
        <v>1860</v>
      </c>
      <c r="G136" s="122">
        <f t="shared" si="91"/>
        <v>0.31692913385826771</v>
      </c>
      <c r="H136" s="122">
        <f>C138/C155</f>
        <v>0.22425350396099938</v>
      </c>
      <c r="J136" s="119" t="s">
        <v>11</v>
      </c>
      <c r="K136" s="77">
        <v>614</v>
      </c>
      <c r="L136" s="77">
        <v>0</v>
      </c>
      <c r="M136" s="83">
        <v>0</v>
      </c>
      <c r="N136" s="191">
        <v>620</v>
      </c>
      <c r="Q136"/>
      <c r="R136"/>
      <c r="S136"/>
      <c r="T136"/>
      <c r="U136"/>
      <c r="V136"/>
      <c r="W136"/>
      <c r="X136"/>
      <c r="Y136"/>
      <c r="Z136"/>
      <c r="AA136"/>
      <c r="AB136"/>
    </row>
    <row r="137" spans="1:28" x14ac:dyDescent="0.25">
      <c r="A137" s="119" t="s">
        <v>12</v>
      </c>
      <c r="B137" s="77">
        <f>K137*Générale!$B$4</f>
        <v>426</v>
      </c>
      <c r="C137" s="77">
        <f>L137*Générale!$B$4</f>
        <v>2427</v>
      </c>
      <c r="D137" s="77">
        <f>M137*Générale!$B$4</f>
        <v>1158</v>
      </c>
      <c r="E137" s="77">
        <f>N137*Générale!$B$4</f>
        <v>0</v>
      </c>
      <c r="J137" s="119" t="s">
        <v>12</v>
      </c>
      <c r="K137" s="77">
        <v>142</v>
      </c>
      <c r="L137" s="77">
        <v>809</v>
      </c>
      <c r="M137" s="77">
        <v>386</v>
      </c>
      <c r="N137" s="77"/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 ht="15.75" thickBot="1" x14ac:dyDescent="0.3">
      <c r="A138" s="119" t="s">
        <v>13</v>
      </c>
      <c r="B138" s="77">
        <f>K138*Générale!$B$4</f>
        <v>483</v>
      </c>
      <c r="C138" s="77">
        <f>L138*Générale!$B$4</f>
        <v>2208</v>
      </c>
      <c r="D138" s="77">
        <f>M138*Générale!$B$4</f>
        <v>996</v>
      </c>
      <c r="E138" s="77">
        <f>N138*Générale!$B$4</f>
        <v>0</v>
      </c>
      <c r="J138" s="119" t="s">
        <v>13</v>
      </c>
      <c r="K138" s="77">
        <v>161</v>
      </c>
      <c r="L138" s="77">
        <v>736</v>
      </c>
      <c r="M138" s="77">
        <v>332</v>
      </c>
      <c r="N138" s="77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ht="16.5" thickTop="1" thickBot="1" x14ac:dyDescent="0.3">
      <c r="A139" s="128" t="s">
        <v>0</v>
      </c>
      <c r="B139" s="137">
        <f>SUM(B127:B138)</f>
        <v>223278</v>
      </c>
      <c r="C139" s="137">
        <f t="shared" ref="C139:D139" si="93">SUM(C127:C138)</f>
        <v>184377</v>
      </c>
      <c r="D139" s="137">
        <f t="shared" si="93"/>
        <v>125481</v>
      </c>
      <c r="E139" s="137">
        <f>SUM(E127:E138)</f>
        <v>125883</v>
      </c>
      <c r="J139" s="128" t="s">
        <v>0</v>
      </c>
      <c r="K139" s="129">
        <f>SUM(K128:K138)</f>
        <v>74318</v>
      </c>
      <c r="L139" s="129">
        <f>SUM(L127:L138)</f>
        <v>61459</v>
      </c>
      <c r="M139" s="129">
        <f>SUM(M128:M138)</f>
        <v>41662</v>
      </c>
      <c r="N139" s="129">
        <f>SUM(N128:N138)</f>
        <v>41629</v>
      </c>
      <c r="Q139"/>
      <c r="R139"/>
      <c r="S139"/>
      <c r="T139"/>
      <c r="U139"/>
      <c r="V139"/>
      <c r="W139"/>
      <c r="X139"/>
      <c r="Y139"/>
      <c r="Z139"/>
      <c r="AA139"/>
      <c r="AB139"/>
    </row>
    <row r="140" spans="1:28" ht="15.75" thickTop="1" x14ac:dyDescent="0.25">
      <c r="A140" s="136" t="s">
        <v>14</v>
      </c>
      <c r="B140" s="136"/>
      <c r="C140" s="136"/>
      <c r="D140" s="136"/>
      <c r="E140" s="136"/>
      <c r="J140" s="136" t="s">
        <v>14</v>
      </c>
      <c r="K140" s="136"/>
      <c r="L140" s="136"/>
      <c r="M140" s="136"/>
      <c r="N140" s="136"/>
      <c r="Q140"/>
      <c r="R140"/>
      <c r="S140"/>
      <c r="T140"/>
      <c r="U140"/>
      <c r="V140"/>
      <c r="W140"/>
      <c r="X140"/>
      <c r="Y140"/>
      <c r="Z140"/>
      <c r="AA140"/>
      <c r="AB140"/>
    </row>
    <row r="141" spans="1:28" ht="15.75" thickBot="1" x14ac:dyDescent="0.3"/>
    <row r="142" spans="1:28" ht="17.25" thickTop="1" thickBot="1" x14ac:dyDescent="0.3">
      <c r="A142" s="140" t="s">
        <v>191</v>
      </c>
      <c r="B142" s="142"/>
    </row>
    <row r="143" spans="1:28" ht="16.5" thickTop="1" x14ac:dyDescent="0.25">
      <c r="A143" s="124"/>
      <c r="B143" s="125">
        <v>2014</v>
      </c>
      <c r="C143" s="125">
        <v>2015</v>
      </c>
      <c r="D143" s="125">
        <v>2016</v>
      </c>
      <c r="E143" s="125">
        <v>2017</v>
      </c>
    </row>
    <row r="144" spans="1:28" x14ac:dyDescent="0.25">
      <c r="A144" s="119" t="s">
        <v>2</v>
      </c>
      <c r="B144" s="77">
        <f>B161*Générale!$B$4</f>
        <v>2286</v>
      </c>
      <c r="C144" s="77">
        <f>C161*Générale!$B$4</f>
        <v>2343</v>
      </c>
      <c r="D144" s="77">
        <f>D161*Générale!$B$4</f>
        <v>11685</v>
      </c>
      <c r="E144" s="77">
        <f>E161*Générale!$B$4</f>
        <v>5438</v>
      </c>
    </row>
    <row r="145" spans="1:5" x14ac:dyDescent="0.25">
      <c r="A145" s="119" t="s">
        <v>3</v>
      </c>
      <c r="B145" s="77">
        <f>B162*Générale!$B$4</f>
        <v>6237</v>
      </c>
      <c r="C145" s="77">
        <f>C162*Générale!$B$4</f>
        <v>3048</v>
      </c>
      <c r="D145" s="77">
        <f>D162*Générale!$B$4</f>
        <v>3375</v>
      </c>
      <c r="E145" s="77">
        <f>E162*Générale!$B$4</f>
        <v>4220</v>
      </c>
    </row>
    <row r="146" spans="1:5" x14ac:dyDescent="0.25">
      <c r="A146" s="119" t="s">
        <v>4</v>
      </c>
      <c r="B146" s="77">
        <f>B163*Générale!$B$4</f>
        <v>2286</v>
      </c>
      <c r="C146" s="77">
        <f>C163*Générale!$B$4</f>
        <v>0</v>
      </c>
      <c r="D146" s="77">
        <f>D163*Générale!$B$4</f>
        <v>4476</v>
      </c>
      <c r="E146" s="77">
        <f>E163*Générale!$B$4</f>
        <v>2254</v>
      </c>
    </row>
    <row r="147" spans="1:5" x14ac:dyDescent="0.25">
      <c r="A147" s="119" t="s">
        <v>5</v>
      </c>
      <c r="B147" s="77">
        <f>B164*Générale!$B$4</f>
        <v>8727</v>
      </c>
      <c r="C147" s="77">
        <f>C164*Générale!$B$4</f>
        <v>5334</v>
      </c>
      <c r="D147" s="77">
        <f>D164*Générale!$B$4</f>
        <v>1422</v>
      </c>
      <c r="E147" s="77">
        <f>E164*Générale!$B$4</f>
        <v>5161</v>
      </c>
    </row>
    <row r="148" spans="1:5" x14ac:dyDescent="0.25">
      <c r="A148" s="119" t="s">
        <v>6</v>
      </c>
      <c r="B148" s="77">
        <f>B165*Générale!$B$4</f>
        <v>12225</v>
      </c>
      <c r="C148" s="77">
        <f>C165*Générale!$B$4</f>
        <v>4317</v>
      </c>
      <c r="D148" s="77">
        <f>D165*Générale!$B$4</f>
        <v>0</v>
      </c>
      <c r="E148" s="77">
        <f>E165*Générale!$B$4</f>
        <v>5514</v>
      </c>
    </row>
    <row r="149" spans="1:5" x14ac:dyDescent="0.25">
      <c r="A149" s="119" t="s">
        <v>7</v>
      </c>
      <c r="B149" s="77">
        <f>B166*Générale!$B$4</f>
        <v>39690</v>
      </c>
      <c r="C149" s="77">
        <f>C166*Générale!$B$4</f>
        <v>21327</v>
      </c>
      <c r="D149" s="77">
        <f>D166*Générale!$B$4</f>
        <v>7161</v>
      </c>
      <c r="E149" s="77">
        <f>E166*Générale!$B$4</f>
        <v>22726</v>
      </c>
    </row>
    <row r="150" spans="1:5" x14ac:dyDescent="0.25">
      <c r="A150" s="119" t="s">
        <v>8</v>
      </c>
      <c r="B150" s="77">
        <f>B167*Générale!$B$4</f>
        <v>123924</v>
      </c>
      <c r="C150" s="77">
        <f>C167*Générale!$B$4</f>
        <v>85629</v>
      </c>
      <c r="D150" s="77">
        <f>D167*Générale!$B$4</f>
        <v>41907</v>
      </c>
      <c r="E150" s="77">
        <f>E167*Générale!$B$4</f>
        <v>83820</v>
      </c>
    </row>
    <row r="151" spans="1:5" x14ac:dyDescent="0.25">
      <c r="A151" s="119" t="s">
        <v>9</v>
      </c>
      <c r="B151" s="77">
        <f>B168*Générale!$B$4</f>
        <v>139485</v>
      </c>
      <c r="C151" s="77">
        <f>C168*Générale!$B$4</f>
        <v>129900</v>
      </c>
      <c r="D151" s="77">
        <f>D168*Générale!$B$4</f>
        <v>102846</v>
      </c>
      <c r="E151" s="77">
        <f>E168*Générale!$B$4</f>
        <v>124077</v>
      </c>
    </row>
    <row r="152" spans="1:5" x14ac:dyDescent="0.25">
      <c r="A152" s="119" t="s">
        <v>10</v>
      </c>
      <c r="B152" s="77">
        <f>B169*Générale!$B$4</f>
        <v>50661</v>
      </c>
      <c r="C152" s="77">
        <f>C169*Générale!$B$4</f>
        <v>38889</v>
      </c>
      <c r="D152" s="77">
        <f>D169*Générale!$B$4</f>
        <v>28767</v>
      </c>
      <c r="E152" s="77">
        <f>E169*Générale!$B$4</f>
        <v>39439</v>
      </c>
    </row>
    <row r="153" spans="1:5" x14ac:dyDescent="0.25">
      <c r="A153" s="119" t="s">
        <v>11</v>
      </c>
      <c r="B153" s="77">
        <f>B170*Générale!$B$4</f>
        <v>3048</v>
      </c>
      <c r="C153" s="77">
        <f>C170*Générale!$B$4</f>
        <v>0</v>
      </c>
      <c r="D153" s="77">
        <f>D170*Générale!$B$4</f>
        <v>0</v>
      </c>
      <c r="E153" s="77"/>
    </row>
    <row r="154" spans="1:5" x14ac:dyDescent="0.25">
      <c r="A154" s="119" t="s">
        <v>12</v>
      </c>
      <c r="B154" s="77">
        <f>B171*Générale!$B$4</f>
        <v>3219</v>
      </c>
      <c r="C154" s="77">
        <f>C171*Générale!$B$4</f>
        <v>6714</v>
      </c>
      <c r="D154" s="77">
        <f>D171*Générale!$B$4</f>
        <v>14325</v>
      </c>
      <c r="E154" s="77"/>
    </row>
    <row r="155" spans="1:5" ht="15.75" thickBot="1" x14ac:dyDescent="0.3">
      <c r="A155" s="139" t="s">
        <v>13</v>
      </c>
      <c r="B155" s="43">
        <f>B172*Générale!$B$4</f>
        <v>1524</v>
      </c>
      <c r="C155" s="43">
        <f>C172*Générale!$B$4</f>
        <v>9846</v>
      </c>
      <c r="D155" s="43">
        <f>D172*Générale!$B$4</f>
        <v>7161</v>
      </c>
      <c r="E155" s="43"/>
    </row>
    <row r="156" spans="1:5" ht="16.5" thickTop="1" thickBot="1" x14ac:dyDescent="0.3">
      <c r="A156" s="138" t="s">
        <v>0</v>
      </c>
      <c r="B156" s="137">
        <f t="shared" ref="B156:D156" si="94">SUM(B144:B155)</f>
        <v>393312</v>
      </c>
      <c r="C156" s="137">
        <f>SUM(C144:C155)</f>
        <v>307347</v>
      </c>
      <c r="D156" s="137">
        <f t="shared" si="94"/>
        <v>223125</v>
      </c>
      <c r="E156" s="137">
        <f>SUM(E144:E155)</f>
        <v>292649</v>
      </c>
    </row>
    <row r="157" spans="1:5" ht="15.75" thickTop="1" x14ac:dyDescent="0.25">
      <c r="A157" s="144" t="s">
        <v>132</v>
      </c>
      <c r="B157" s="144"/>
    </row>
    <row r="158" spans="1:5" ht="15.75" thickBot="1" x14ac:dyDescent="0.3"/>
    <row r="159" spans="1:5" ht="17.25" thickTop="1" thickBot="1" x14ac:dyDescent="0.3">
      <c r="A159" s="140" t="s">
        <v>194</v>
      </c>
      <c r="B159" s="142"/>
    </row>
    <row r="160" spans="1:5" ht="16.5" thickTop="1" x14ac:dyDescent="0.25">
      <c r="A160" s="124"/>
      <c r="B160" s="125">
        <v>2014</v>
      </c>
      <c r="C160" s="125">
        <v>2015</v>
      </c>
      <c r="D160" s="125">
        <v>2016</v>
      </c>
      <c r="E160" s="125">
        <v>2017</v>
      </c>
    </row>
    <row r="161" spans="1:5" x14ac:dyDescent="0.25">
      <c r="A161" s="119" t="s">
        <v>2</v>
      </c>
      <c r="B161" s="77">
        <v>762</v>
      </c>
      <c r="C161" s="77">
        <v>781</v>
      </c>
      <c r="D161" s="77">
        <v>3895</v>
      </c>
      <c r="E161" s="179">
        <f t="shared" ref="E161:E169" si="95">AVERAGE(A161:D161)</f>
        <v>1812.6666666666667</v>
      </c>
    </row>
    <row r="162" spans="1:5" x14ac:dyDescent="0.25">
      <c r="A162" s="119" t="s">
        <v>3</v>
      </c>
      <c r="B162" s="77">
        <v>2079</v>
      </c>
      <c r="C162" s="83">
        <v>1016</v>
      </c>
      <c r="D162" s="77">
        <v>1125</v>
      </c>
      <c r="E162" s="179">
        <f t="shared" si="95"/>
        <v>1406.6666666666667</v>
      </c>
    </row>
    <row r="163" spans="1:5" x14ac:dyDescent="0.25">
      <c r="A163" s="119" t="s">
        <v>4</v>
      </c>
      <c r="B163" s="77">
        <v>762</v>
      </c>
      <c r="C163" s="117">
        <v>0</v>
      </c>
      <c r="D163" s="77">
        <v>1492</v>
      </c>
      <c r="E163" s="179">
        <f t="shared" si="95"/>
        <v>751.33333333333337</v>
      </c>
    </row>
    <row r="164" spans="1:5" x14ac:dyDescent="0.25">
      <c r="A164" s="119" t="s">
        <v>5</v>
      </c>
      <c r="B164" s="77">
        <v>2909</v>
      </c>
      <c r="C164" s="77">
        <v>1778</v>
      </c>
      <c r="D164" s="77">
        <v>474</v>
      </c>
      <c r="E164" s="179">
        <f t="shared" si="95"/>
        <v>1720.3333333333333</v>
      </c>
    </row>
    <row r="165" spans="1:5" x14ac:dyDescent="0.25">
      <c r="A165" s="119" t="s">
        <v>6</v>
      </c>
      <c r="B165" s="77">
        <f>1789+2286</f>
        <v>4075</v>
      </c>
      <c r="C165" s="77">
        <v>1439</v>
      </c>
      <c r="D165" s="77">
        <v>0</v>
      </c>
      <c r="E165" s="179">
        <f t="shared" si="95"/>
        <v>1838</v>
      </c>
    </row>
    <row r="166" spans="1:5" x14ac:dyDescent="0.25">
      <c r="A166" s="119" t="s">
        <v>7</v>
      </c>
      <c r="B166" s="77">
        <f>11452+1778</f>
        <v>13230</v>
      </c>
      <c r="C166" s="77">
        <v>7109</v>
      </c>
      <c r="D166" s="77">
        <v>2387</v>
      </c>
      <c r="E166" s="179">
        <f t="shared" si="95"/>
        <v>7575.333333333333</v>
      </c>
    </row>
    <row r="167" spans="1:5" x14ac:dyDescent="0.25">
      <c r="A167" s="119" t="s">
        <v>8</v>
      </c>
      <c r="B167" s="77">
        <f>27769+13539</f>
        <v>41308</v>
      </c>
      <c r="C167" s="77">
        <v>28543</v>
      </c>
      <c r="D167" s="77">
        <v>13969</v>
      </c>
      <c r="E167" s="179">
        <f t="shared" si="95"/>
        <v>27940</v>
      </c>
    </row>
    <row r="168" spans="1:5" x14ac:dyDescent="0.25">
      <c r="A168" s="119" t="s">
        <v>9</v>
      </c>
      <c r="B168" s="77">
        <f>30613+15882</f>
        <v>46495</v>
      </c>
      <c r="C168" s="77">
        <v>43300</v>
      </c>
      <c r="D168" s="77">
        <v>34282</v>
      </c>
      <c r="E168" s="179">
        <f t="shared" si="95"/>
        <v>41359</v>
      </c>
    </row>
    <row r="169" spans="1:5" x14ac:dyDescent="0.25">
      <c r="A169" s="119" t="s">
        <v>10</v>
      </c>
      <c r="B169" s="77">
        <f>13781+3106</f>
        <v>16887</v>
      </c>
      <c r="C169" s="77">
        <v>12963</v>
      </c>
      <c r="D169" s="77">
        <v>9589</v>
      </c>
      <c r="E169" s="179">
        <f t="shared" si="95"/>
        <v>13146.333333333334</v>
      </c>
    </row>
    <row r="170" spans="1:5" x14ac:dyDescent="0.25">
      <c r="A170" s="119" t="s">
        <v>11</v>
      </c>
      <c r="B170" s="77">
        <v>1016</v>
      </c>
      <c r="C170" s="77">
        <v>0</v>
      </c>
      <c r="D170" s="77">
        <v>0</v>
      </c>
      <c r="E170" s="179"/>
    </row>
    <row r="171" spans="1:5" x14ac:dyDescent="0.25">
      <c r="A171" s="119" t="s">
        <v>12</v>
      </c>
      <c r="B171" s="77">
        <v>1073</v>
      </c>
      <c r="C171" s="77">
        <v>2238</v>
      </c>
      <c r="D171" s="77">
        <v>4775</v>
      </c>
      <c r="E171" s="179"/>
    </row>
    <row r="172" spans="1:5" ht="15.75" thickBot="1" x14ac:dyDescent="0.3">
      <c r="A172" s="139" t="s">
        <v>13</v>
      </c>
      <c r="B172" s="43">
        <v>508</v>
      </c>
      <c r="C172" s="43">
        <v>3282</v>
      </c>
      <c r="D172" s="43">
        <v>2387</v>
      </c>
      <c r="E172" s="179"/>
    </row>
    <row r="173" spans="1:5" ht="16.5" thickTop="1" thickBot="1" x14ac:dyDescent="0.3">
      <c r="A173" s="138" t="s">
        <v>0</v>
      </c>
      <c r="B173" s="137">
        <f t="shared" ref="B173:D173" si="96">SUM(B161:B172)</f>
        <v>131104</v>
      </c>
      <c r="C173" s="137">
        <f t="shared" si="96"/>
        <v>102449</v>
      </c>
      <c r="D173" s="137">
        <f t="shared" si="96"/>
        <v>74375</v>
      </c>
      <c r="E173" s="137">
        <f>SUM(E161:E172)</f>
        <v>97549.666666666657</v>
      </c>
    </row>
    <row r="174" spans="1:5" ht="15.75" thickTop="1" x14ac:dyDescent="0.25"/>
  </sheetData>
  <mergeCells count="2">
    <mergeCell ref="A16:B16"/>
    <mergeCell ref="A35:F35"/>
  </mergeCells>
  <conditionalFormatting sqref="T3:W14">
    <cfRule type="cellIs" dxfId="30" priority="2" operator="greaterThan">
      <formula>1</formula>
    </cfRule>
  </conditionalFormatting>
  <conditionalFormatting sqref="T74:X86">
    <cfRule type="cellIs" dxfId="29" priority="6" operator="lessThan">
      <formula>0</formula>
    </cfRule>
  </conditionalFormatting>
  <conditionalFormatting sqref="AD74:AG86">
    <cfRule type="cellIs" dxfId="28" priority="4" operator="greaterThan">
      <formula>0</formula>
    </cfRule>
  </conditionalFormatting>
  <conditionalFormatting sqref="AC41:AF53">
    <cfRule type="cellIs" dxfId="27" priority="3" operator="greaterThan">
      <formula>0</formula>
    </cfRule>
  </conditionalFormatting>
  <conditionalFormatting sqref="T58:X70">
    <cfRule type="cellIs" dxfId="26" priority="7" operator="lessThan">
      <formula>0</formula>
    </cfRule>
  </conditionalFormatting>
  <conditionalFormatting sqref="AD58:AG70">
    <cfRule type="cellIs" dxfId="25" priority="5" operator="greaterThan">
      <formula>0</formula>
    </cfRule>
  </conditionalFormatting>
  <conditionalFormatting sqref="AC22:AG34">
    <cfRule type="cellIs" dxfId="24" priority="9" operator="lessThan">
      <formula>0</formula>
    </cfRule>
  </conditionalFormatting>
  <conditionalFormatting sqref="AL3:AP16">
    <cfRule type="cellIs" dxfId="23" priority="8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21"/>
  <sheetViews>
    <sheetView zoomScale="85" zoomScaleNormal="85" workbookViewId="0">
      <selection activeCell="N52" sqref="N52"/>
    </sheetView>
  </sheetViews>
  <sheetFormatPr baseColWidth="10" defaultColWidth="11.42578125" defaultRowHeight="15" x14ac:dyDescent="0.25"/>
  <cols>
    <col min="1" max="9" width="11.42578125" style="117"/>
    <col min="10" max="10" width="15.85546875" style="117" customWidth="1"/>
    <col min="11" max="11" width="14.28515625" style="117" customWidth="1"/>
    <col min="12" max="12" width="15.5703125" style="117" customWidth="1"/>
    <col min="13" max="13" width="14.85546875" style="117" customWidth="1"/>
    <col min="14" max="14" width="14" style="117" customWidth="1"/>
    <col min="15" max="16384" width="11.42578125" style="117"/>
  </cols>
  <sheetData>
    <row r="1" spans="1:35" ht="17.25" thickTop="1" thickBot="1" x14ac:dyDescent="0.3">
      <c r="A1" s="140" t="s">
        <v>69</v>
      </c>
      <c r="J1" s="140" t="s">
        <v>124</v>
      </c>
      <c r="K1" s="142"/>
      <c r="S1" s="140" t="s">
        <v>263</v>
      </c>
      <c r="T1" s="142"/>
      <c r="AB1" s="94" t="s">
        <v>103</v>
      </c>
      <c r="AC1" s="95"/>
      <c r="AD1" s="96"/>
      <c r="AE1" s="96"/>
      <c r="AF1" s="96"/>
      <c r="AG1" s="96"/>
      <c r="AH1" s="96"/>
      <c r="AI1" s="96"/>
    </row>
    <row r="2" spans="1:35" ht="16.5" thickTop="1" x14ac:dyDescent="0.25">
      <c r="A2" s="124"/>
      <c r="B2" s="88">
        <v>2014</v>
      </c>
      <c r="C2" s="88">
        <v>2015</v>
      </c>
      <c r="D2" s="125">
        <v>2016</v>
      </c>
      <c r="E2" s="125">
        <v>2017</v>
      </c>
      <c r="F2" s="126" t="s">
        <v>1</v>
      </c>
      <c r="G2" s="117" t="s">
        <v>18</v>
      </c>
      <c r="H2" s="117" t="s">
        <v>17</v>
      </c>
      <c r="J2" s="124"/>
      <c r="K2" s="125">
        <v>2014</v>
      </c>
      <c r="L2" s="125">
        <v>2015</v>
      </c>
      <c r="M2" s="125">
        <v>2016</v>
      </c>
      <c r="N2" s="125">
        <v>2017</v>
      </c>
      <c r="O2" s="126" t="s">
        <v>1</v>
      </c>
      <c r="P2" s="117" t="s">
        <v>74</v>
      </c>
      <c r="Q2" s="117" t="s">
        <v>75</v>
      </c>
      <c r="S2" s="124"/>
      <c r="T2" s="125">
        <v>2014</v>
      </c>
      <c r="U2" s="125">
        <v>2015</v>
      </c>
      <c r="V2" s="125">
        <v>2016</v>
      </c>
      <c r="W2" s="125">
        <v>2017</v>
      </c>
      <c r="X2" s="126" t="s">
        <v>1</v>
      </c>
      <c r="Y2" s="86" t="s">
        <v>74</v>
      </c>
      <c r="Z2" s="86" t="s">
        <v>75</v>
      </c>
      <c r="AB2" s="97"/>
      <c r="AC2" s="98">
        <v>2014</v>
      </c>
      <c r="AD2" s="98">
        <v>2015</v>
      </c>
      <c r="AE2" s="98">
        <v>2016</v>
      </c>
      <c r="AF2" s="98">
        <v>2017</v>
      </c>
      <c r="AG2" s="109" t="s">
        <v>1</v>
      </c>
      <c r="AH2" s="110" t="s">
        <v>74</v>
      </c>
      <c r="AI2" s="110" t="s">
        <v>75</v>
      </c>
    </row>
    <row r="3" spans="1:35" x14ac:dyDescent="0.25">
      <c r="A3" s="119" t="s">
        <v>2</v>
      </c>
      <c r="B3" s="89">
        <v>0</v>
      </c>
      <c r="C3" s="89">
        <v>0</v>
      </c>
      <c r="D3" s="133">
        <f>'PORTO VECCHIO 2016'!AK4+'PORTO VECCHIO 2016'!AK21</f>
        <v>1896</v>
      </c>
      <c r="E3" s="133">
        <f>'PORTO VECCHIO 2017'!AK4+'PORTO VECCHIO 2017'!AK21</f>
        <v>1896</v>
      </c>
      <c r="F3" s="127">
        <f>AVERAGE(B3:E3)</f>
        <v>948</v>
      </c>
      <c r="G3" s="127">
        <f t="shared" ref="G3:G14" si="0">STDEVA(C3:E3)</f>
        <v>1094.6561103835304</v>
      </c>
      <c r="H3" s="127">
        <f>STDEVA(B3:E3)</f>
        <v>1094.6561103835304</v>
      </c>
      <c r="J3" s="119" t="s">
        <v>2</v>
      </c>
      <c r="K3" s="41"/>
      <c r="L3" s="41"/>
      <c r="M3" s="41">
        <f t="shared" ref="K3:N14" si="1">D22/D3</f>
        <v>0</v>
      </c>
      <c r="N3" s="41">
        <f t="shared" si="1"/>
        <v>0.57172995780590719</v>
      </c>
      <c r="O3" s="122">
        <f>AVERAGE(K3:N3)</f>
        <v>0.28586497890295359</v>
      </c>
      <c r="P3" s="123">
        <f>MAX(K3:N3)</f>
        <v>0.57172995780590719</v>
      </c>
      <c r="Q3" s="123">
        <f>MIN(K3:N3)</f>
        <v>0</v>
      </c>
      <c r="S3" s="119" t="s">
        <v>2</v>
      </c>
      <c r="T3" s="41"/>
      <c r="U3" s="41"/>
      <c r="V3" s="41">
        <f t="shared" ref="V3:V8" si="2">(D74+D58)/(D3+D106)</f>
        <v>0.93301687763713081</v>
      </c>
      <c r="W3" s="41">
        <f t="shared" ref="W3:W8" si="3">(E74+E58)/(E3+E106)</f>
        <v>2.7051687763713081</v>
      </c>
      <c r="X3" s="122">
        <f>AVERAGE(T3:W3)</f>
        <v>1.8190928270042195</v>
      </c>
      <c r="Y3" s="123">
        <f>MAX(T3:W3)</f>
        <v>2.7051687763713081</v>
      </c>
      <c r="Z3" s="123">
        <f>MIN(T3:W3)</f>
        <v>0.93301687763713081</v>
      </c>
      <c r="AB3" s="99" t="s">
        <v>2</v>
      </c>
      <c r="AC3" s="102"/>
      <c r="AD3" s="102"/>
      <c r="AE3" s="105">
        <f>('PORTO VECCHIO 2016'!S4+'PORTO VECCHIO 2016'!S21)/2</f>
        <v>0.11286681715575622</v>
      </c>
      <c r="AF3" s="105">
        <f>('PORTO VECCHIO 2017'!S4+'PORTO VECCHIO 2017'!S21)/2</f>
        <v>0.11286681715575622</v>
      </c>
      <c r="AG3" s="92">
        <f>AVERAGE(AC3:AF3)</f>
        <v>0.11286681715575622</v>
      </c>
      <c r="AH3" s="135">
        <f>MAX(AC3:AF3)</f>
        <v>0.11286681715575622</v>
      </c>
      <c r="AI3" s="135">
        <f>MIN(AC3:AF3)</f>
        <v>0.11286681715575622</v>
      </c>
    </row>
    <row r="4" spans="1:35" x14ac:dyDescent="0.25">
      <c r="A4" s="119" t="s">
        <v>3</v>
      </c>
      <c r="B4" s="89">
        <f>'PORTO VECCHIO 2014'!AK5+'PORTO VECCHIO 2014'!AK22</f>
        <v>1060</v>
      </c>
      <c r="C4" s="89">
        <v>0</v>
      </c>
      <c r="D4" s="133">
        <f>'PORTO VECCHIO 2016'!AK5+'PORTO VECCHIO 2016'!AK22</f>
        <v>0</v>
      </c>
      <c r="E4" s="133">
        <f>'PORTO VECCHIO 2017'!AK5+'PORTO VECCHIO 2017'!AK22</f>
        <v>0</v>
      </c>
      <c r="F4" s="127">
        <f t="shared" ref="F4:F14" si="4">AVERAGE(B4:E4)</f>
        <v>265</v>
      </c>
      <c r="G4" s="127">
        <f t="shared" si="0"/>
        <v>0</v>
      </c>
      <c r="H4" s="127">
        <f t="shared" ref="H4:H14" si="5">STDEVA(B4:E4)</f>
        <v>530</v>
      </c>
      <c r="J4" s="119" t="s">
        <v>3</v>
      </c>
      <c r="K4" s="41">
        <f t="shared" si="1"/>
        <v>0.1169811320754717</v>
      </c>
      <c r="L4" s="41"/>
      <c r="M4" s="41"/>
      <c r="N4" s="41"/>
      <c r="O4" s="122">
        <f t="shared" ref="O4:O14" si="6">AVERAGE(K4:N4)</f>
        <v>0.1169811320754717</v>
      </c>
      <c r="P4" s="123">
        <f t="shared" ref="P4:P14" si="7">MAX(K4:N4)</f>
        <v>0.1169811320754717</v>
      </c>
      <c r="Q4" s="123">
        <f t="shared" ref="Q4:Q14" si="8">MIN(K4:N4)</f>
        <v>0.1169811320754717</v>
      </c>
      <c r="S4" s="119" t="s">
        <v>3</v>
      </c>
      <c r="T4" s="41">
        <f>(B75+B59)/(B4+B107)</f>
        <v>2.5933962264150945</v>
      </c>
      <c r="U4" s="41"/>
      <c r="V4" s="41"/>
      <c r="W4" s="41"/>
      <c r="X4" s="122">
        <f t="shared" ref="X4:X14" si="9">AVERAGE(T4:W4)</f>
        <v>2.5933962264150945</v>
      </c>
      <c r="Y4" s="123">
        <f t="shared" ref="Y4:Y14" si="10">MAX(T4:W4)</f>
        <v>2.5933962264150945</v>
      </c>
      <c r="Z4" s="123">
        <f t="shared" ref="Z4:Z14" si="11">MIN(T4:W4)</f>
        <v>2.5933962264150945</v>
      </c>
      <c r="AB4" s="99" t="s">
        <v>3</v>
      </c>
      <c r="AC4" s="105">
        <f>('PORTO VECCHIO 2014'!Q5+'PORTO VECCHIO 2014'!Q22)/2</f>
        <v>1</v>
      </c>
      <c r="AD4" s="102"/>
      <c r="AE4" s="105">
        <f>('PORTO VECCHIO 2016'!S5+'PORTO VECCHIO 2016'!S22)/2</f>
        <v>0</v>
      </c>
      <c r="AF4" s="105">
        <f>('PORTO VECCHIO 2017'!S5+'PORTO VECCHIO 2017'!S22)/2</f>
        <v>0</v>
      </c>
      <c r="AG4" s="92">
        <f t="shared" ref="AG4:AG14" si="12">AVERAGE(AC4:AF4)</f>
        <v>0.33333333333333331</v>
      </c>
      <c r="AH4" s="135">
        <f t="shared" ref="AH4:AH14" si="13">MAX(AC4:AF4)</f>
        <v>1</v>
      </c>
      <c r="AI4" s="135">
        <f t="shared" ref="AI4:AI14" si="14">MIN(AC4:AF4)</f>
        <v>0</v>
      </c>
    </row>
    <row r="5" spans="1:35" x14ac:dyDescent="0.25">
      <c r="A5" s="119" t="s">
        <v>4</v>
      </c>
      <c r="B5" s="89">
        <v>0</v>
      </c>
      <c r="C5" s="89">
        <v>0</v>
      </c>
      <c r="D5" s="133">
        <f>'PORTO VECCHIO 2016'!AK6+'PORTO VECCHIO 2016'!AK23</f>
        <v>0</v>
      </c>
      <c r="E5" s="133">
        <f>'PORTO VECCHIO 2017'!AK6+'PORTO VECCHIO 2017'!AK23</f>
        <v>0</v>
      </c>
      <c r="F5" s="127">
        <f t="shared" si="4"/>
        <v>0</v>
      </c>
      <c r="G5" s="127">
        <f t="shared" si="0"/>
        <v>0</v>
      </c>
      <c r="H5" s="127">
        <f t="shared" si="5"/>
        <v>0</v>
      </c>
      <c r="J5" s="119" t="s">
        <v>4</v>
      </c>
      <c r="K5" s="41"/>
      <c r="L5" s="41"/>
      <c r="M5" s="41"/>
      <c r="N5" s="41"/>
      <c r="O5" s="122"/>
      <c r="P5" s="123">
        <f t="shared" si="7"/>
        <v>0</v>
      </c>
      <c r="Q5" s="123">
        <f t="shared" si="8"/>
        <v>0</v>
      </c>
      <c r="S5" s="119" t="s">
        <v>4</v>
      </c>
      <c r="T5" s="41"/>
      <c r="U5" s="41"/>
      <c r="V5" s="41"/>
      <c r="W5" s="41"/>
      <c r="X5" s="122"/>
      <c r="Y5" s="123">
        <f t="shared" si="10"/>
        <v>0</v>
      </c>
      <c r="Z5" s="123">
        <f t="shared" si="11"/>
        <v>0</v>
      </c>
      <c r="AB5" s="99" t="s">
        <v>4</v>
      </c>
      <c r="AC5" s="102"/>
      <c r="AD5" s="102"/>
      <c r="AE5" s="105">
        <f>('PORTO VECCHIO 2016'!S6+'PORTO VECCHIO 2016'!S23)/2</f>
        <v>0</v>
      </c>
      <c r="AF5" s="105">
        <f>('PORTO VECCHIO 2017'!S6+'PORTO VECCHIO 2017'!S23)/2</f>
        <v>0</v>
      </c>
      <c r="AG5" s="92">
        <f t="shared" si="12"/>
        <v>0</v>
      </c>
      <c r="AH5" s="135">
        <f t="shared" si="13"/>
        <v>0</v>
      </c>
      <c r="AI5" s="135">
        <f t="shared" si="14"/>
        <v>0</v>
      </c>
    </row>
    <row r="6" spans="1:35" x14ac:dyDescent="0.25">
      <c r="A6" s="119" t="s">
        <v>5</v>
      </c>
      <c r="B6" s="89">
        <v>0</v>
      </c>
      <c r="C6" s="89">
        <v>0</v>
      </c>
      <c r="D6" s="133">
        <f>'PORTO VECCHIO 2016'!AK7+'PORTO VECCHIO 2016'!AK24</f>
        <v>0</v>
      </c>
      <c r="E6" s="133">
        <f>'PORTO VECCHIO 2017'!AK7+'PORTO VECCHIO 2017'!AK24</f>
        <v>5865</v>
      </c>
      <c r="F6" s="127">
        <f t="shared" si="4"/>
        <v>1466.25</v>
      </c>
      <c r="G6" s="127">
        <f t="shared" si="0"/>
        <v>3386.159328797155</v>
      </c>
      <c r="H6" s="127">
        <f t="shared" si="5"/>
        <v>2932.5</v>
      </c>
      <c r="J6" s="119" t="s">
        <v>5</v>
      </c>
      <c r="K6" s="41"/>
      <c r="L6" s="41"/>
      <c r="M6" s="41"/>
      <c r="N6" s="41">
        <f t="shared" si="1"/>
        <v>0.15106564364876385</v>
      </c>
      <c r="O6" s="122">
        <f t="shared" si="6"/>
        <v>0.15106564364876385</v>
      </c>
      <c r="P6" s="123">
        <f t="shared" si="7"/>
        <v>0.15106564364876385</v>
      </c>
      <c r="Q6" s="123">
        <f t="shared" si="8"/>
        <v>0.15106564364876385</v>
      </c>
      <c r="S6" s="119" t="s">
        <v>5</v>
      </c>
      <c r="T6" s="41"/>
      <c r="U6" s="41"/>
      <c r="V6" s="41"/>
      <c r="W6" s="41">
        <f t="shared" si="3"/>
        <v>1.8051150895140664</v>
      </c>
      <c r="X6" s="122">
        <f t="shared" si="9"/>
        <v>1.8051150895140664</v>
      </c>
      <c r="Y6" s="123">
        <f t="shared" si="10"/>
        <v>1.8051150895140664</v>
      </c>
      <c r="Z6" s="123">
        <f t="shared" si="11"/>
        <v>1.8051150895140664</v>
      </c>
      <c r="AB6" s="99" t="s">
        <v>5</v>
      </c>
      <c r="AC6" s="102"/>
      <c r="AD6" s="102"/>
      <c r="AE6" s="105">
        <f>('PORTO VECCHIO 2016'!S7+'PORTO VECCHIO 2016'!S24)/2</f>
        <v>0</v>
      </c>
      <c r="AF6" s="105">
        <f>('PORTO VECCHIO 2017'!S7+'PORTO VECCHIO 2017'!S24)/2</f>
        <v>0.35046728971962615</v>
      </c>
      <c r="AG6" s="92">
        <f t="shared" si="12"/>
        <v>0.17523364485981308</v>
      </c>
      <c r="AH6" s="135">
        <f t="shared" si="13"/>
        <v>0.35046728971962615</v>
      </c>
      <c r="AI6" s="135">
        <f t="shared" si="14"/>
        <v>0</v>
      </c>
    </row>
    <row r="7" spans="1:35" x14ac:dyDescent="0.25">
      <c r="A7" s="119" t="s">
        <v>6</v>
      </c>
      <c r="B7" s="89">
        <v>0</v>
      </c>
      <c r="C7" s="89">
        <v>0</v>
      </c>
      <c r="D7" s="133">
        <f>'PORTO VECCHIO 2016'!AK8+'PORTO VECCHIO 2016'!AK25</f>
        <v>0</v>
      </c>
      <c r="E7" s="133">
        <f>'PORTO VECCHIO 2017'!AK8+'PORTO VECCHIO 2017'!AK25</f>
        <v>4000</v>
      </c>
      <c r="F7" s="127">
        <f t="shared" si="4"/>
        <v>1000</v>
      </c>
      <c r="G7" s="127">
        <f t="shared" si="0"/>
        <v>2309.4010767585032</v>
      </c>
      <c r="H7" s="127">
        <f t="shared" si="5"/>
        <v>2000</v>
      </c>
      <c r="J7" s="119" t="s">
        <v>6</v>
      </c>
      <c r="K7" s="41"/>
      <c r="L7" s="41"/>
      <c r="M7" s="41"/>
      <c r="N7" s="41">
        <f t="shared" si="1"/>
        <v>0.28475</v>
      </c>
      <c r="O7" s="122">
        <f t="shared" si="6"/>
        <v>0.28475</v>
      </c>
      <c r="P7" s="123">
        <f t="shared" si="7"/>
        <v>0.28475</v>
      </c>
      <c r="Q7" s="123">
        <f t="shared" si="8"/>
        <v>0.28475</v>
      </c>
      <c r="S7" s="119" t="s">
        <v>6</v>
      </c>
      <c r="T7" s="41"/>
      <c r="U7" s="41"/>
      <c r="V7" s="41"/>
      <c r="W7" s="41">
        <f t="shared" si="3"/>
        <v>2.1857500000000001</v>
      </c>
      <c r="X7" s="122">
        <f t="shared" si="9"/>
        <v>2.1857500000000001</v>
      </c>
      <c r="Y7" s="123">
        <f t="shared" si="10"/>
        <v>2.1857500000000001</v>
      </c>
      <c r="Z7" s="123">
        <f t="shared" si="11"/>
        <v>2.1857500000000001</v>
      </c>
      <c r="AB7" s="99" t="s">
        <v>6</v>
      </c>
      <c r="AC7" s="102"/>
      <c r="AD7" s="102"/>
      <c r="AE7" s="105">
        <f>('PORTO VECCHIO 2016'!S8+'PORTO VECCHIO 2016'!S25)/2</f>
        <v>0</v>
      </c>
      <c r="AF7" s="105">
        <f>('PORTO VECCHIO 2017'!S8+'PORTO VECCHIO 2017'!S25)/2</f>
        <v>0.22573363431151244</v>
      </c>
      <c r="AG7" s="92">
        <f t="shared" si="12"/>
        <v>0.11286681715575622</v>
      </c>
      <c r="AH7" s="135">
        <f t="shared" si="13"/>
        <v>0.22573363431151244</v>
      </c>
      <c r="AI7" s="135">
        <f t="shared" si="14"/>
        <v>0</v>
      </c>
    </row>
    <row r="8" spans="1:35" x14ac:dyDescent="0.25">
      <c r="A8" s="119" t="s">
        <v>7</v>
      </c>
      <c r="B8" s="89">
        <v>0</v>
      </c>
      <c r="C8" s="89">
        <v>0</v>
      </c>
      <c r="D8" s="133">
        <f>'PORTO VECCHIO 2016'!AK9+'PORTO VECCHIO 2016'!AK26</f>
        <v>7672</v>
      </c>
      <c r="E8" s="133">
        <f>'PORTO VECCHIO 2017'!AK9+'PORTO VECCHIO 2017'!AK26</f>
        <v>7670</v>
      </c>
      <c r="F8" s="127">
        <f t="shared" si="4"/>
        <v>3835.5</v>
      </c>
      <c r="G8" s="127">
        <f t="shared" si="0"/>
        <v>4428.8540278496421</v>
      </c>
      <c r="H8" s="127">
        <f t="shared" si="5"/>
        <v>4428.8539902176353</v>
      </c>
      <c r="J8" s="119" t="s">
        <v>7</v>
      </c>
      <c r="K8" s="41"/>
      <c r="L8" s="41"/>
      <c r="M8" s="41">
        <f>D27/D8</f>
        <v>0.19499478623566216</v>
      </c>
      <c r="N8" s="41">
        <f t="shared" si="1"/>
        <v>0.17561929595827902</v>
      </c>
      <c r="O8" s="122">
        <f t="shared" si="6"/>
        <v>0.1853070410969706</v>
      </c>
      <c r="P8" s="123">
        <f t="shared" si="7"/>
        <v>0.19499478623566216</v>
      </c>
      <c r="Q8" s="123">
        <f t="shared" si="8"/>
        <v>0.17561929595827902</v>
      </c>
      <c r="S8" s="119" t="s">
        <v>7</v>
      </c>
      <c r="T8" s="41"/>
      <c r="U8" s="41"/>
      <c r="V8" s="41">
        <f t="shared" si="2"/>
        <v>0.81508384898215402</v>
      </c>
      <c r="W8" s="41">
        <f t="shared" si="3"/>
        <v>0.82896860986547083</v>
      </c>
      <c r="X8" s="122">
        <f t="shared" si="9"/>
        <v>0.82202622942381243</v>
      </c>
      <c r="Y8" s="123">
        <f t="shared" si="10"/>
        <v>0.82896860986547083</v>
      </c>
      <c r="Z8" s="123">
        <f t="shared" si="11"/>
        <v>0.81508384898215402</v>
      </c>
      <c r="AB8" s="99" t="s">
        <v>7</v>
      </c>
      <c r="AC8" s="102"/>
      <c r="AD8" s="102"/>
      <c r="AE8" s="105">
        <f>('PORTO VECCHIO 2016'!S9+'PORTO VECCHIO 2016'!S26)/2</f>
        <v>0.46728971962616822</v>
      </c>
      <c r="AF8" s="105">
        <f>('PORTO VECCHIO 2017'!S9+'PORTO VECCHIO 2017'!S26)/2</f>
        <v>0.46728971962616822</v>
      </c>
      <c r="AG8" s="92">
        <f t="shared" si="12"/>
        <v>0.46728971962616822</v>
      </c>
      <c r="AH8" s="135">
        <f t="shared" si="13"/>
        <v>0.46728971962616822</v>
      </c>
      <c r="AI8" s="135">
        <f t="shared" si="14"/>
        <v>0.46728971962616822</v>
      </c>
    </row>
    <row r="9" spans="1:35" x14ac:dyDescent="0.25">
      <c r="A9" s="119" t="s">
        <v>8</v>
      </c>
      <c r="B9" s="89">
        <v>0</v>
      </c>
      <c r="C9" s="89">
        <v>0</v>
      </c>
      <c r="D9" s="133">
        <f>'PORTO VECCHIO 2016'!AK10+'PORTO VECCHIO 2016'!AK27</f>
        <v>1955</v>
      </c>
      <c r="E9" s="133">
        <f>'PORTO VECCHIO 2017'!AK10+'PORTO VECCHIO 2017'!AK27</f>
        <v>9582</v>
      </c>
      <c r="F9" s="127">
        <f t="shared" si="4"/>
        <v>2884.25</v>
      </c>
      <c r="G9" s="127">
        <f t="shared" si="0"/>
        <v>5063.0668900710107</v>
      </c>
      <c r="H9" s="127">
        <f t="shared" si="5"/>
        <v>4559.2819884275641</v>
      </c>
      <c r="I9" s="123"/>
      <c r="J9" s="119" t="s">
        <v>8</v>
      </c>
      <c r="K9" s="41"/>
      <c r="L9" s="41"/>
      <c r="M9" s="41">
        <f t="shared" si="1"/>
        <v>0.47263427109974426</v>
      </c>
      <c r="N9" s="41">
        <f t="shared" si="1"/>
        <v>0.43821749112920061</v>
      </c>
      <c r="O9" s="122">
        <f t="shared" si="6"/>
        <v>0.45542588111447246</v>
      </c>
      <c r="P9" s="123">
        <f t="shared" si="7"/>
        <v>0.47263427109974426</v>
      </c>
      <c r="Q9" s="123">
        <f t="shared" si="8"/>
        <v>0.43821749112920061</v>
      </c>
      <c r="S9" s="119" t="s">
        <v>8</v>
      </c>
      <c r="T9" s="41"/>
      <c r="U9" s="41"/>
      <c r="V9" s="41">
        <f t="shared" ref="V9:W14" si="15">(D80+D64)/(D9+D112)</f>
        <v>1.5934041733193856</v>
      </c>
      <c r="W9" s="41">
        <f t="shared" si="15"/>
        <v>1.2393951143854207</v>
      </c>
      <c r="X9" s="146">
        <f t="shared" si="9"/>
        <v>1.4163996438524031</v>
      </c>
      <c r="Y9" s="123">
        <f t="shared" si="10"/>
        <v>1.5934041733193856</v>
      </c>
      <c r="Z9" s="123">
        <f t="shared" si="11"/>
        <v>1.2393951143854207</v>
      </c>
      <c r="AB9" s="99" t="s">
        <v>8</v>
      </c>
      <c r="AC9" s="102"/>
      <c r="AD9" s="102"/>
      <c r="AE9" s="105">
        <f>('PORTO VECCHIO 2016'!S10+'PORTO VECCHIO 2016'!S27)/2</f>
        <v>0.11286681715575622</v>
      </c>
      <c r="AF9" s="105">
        <f>('PORTO VECCHIO 2017'!S10+'PORTO VECCHIO 2017'!S27)/2</f>
        <v>0.56433408577878108</v>
      </c>
      <c r="AG9" s="92">
        <f t="shared" si="12"/>
        <v>0.33860045146726864</v>
      </c>
      <c r="AH9" s="135">
        <f t="shared" si="13"/>
        <v>0.56433408577878108</v>
      </c>
      <c r="AI9" s="135">
        <f t="shared" si="14"/>
        <v>0.11286681715575622</v>
      </c>
    </row>
    <row r="10" spans="1:35" x14ac:dyDescent="0.25">
      <c r="A10" s="119" t="s">
        <v>9</v>
      </c>
      <c r="B10" s="89">
        <v>0</v>
      </c>
      <c r="C10" s="89">
        <v>0</v>
      </c>
      <c r="D10" s="133">
        <f>'PORTO VECCHIO 2016'!AK11+'PORTO VECCHIO 2016'!AK28</f>
        <v>9455</v>
      </c>
      <c r="E10" s="133">
        <f>'PORTO VECCHIO 2017'!AK11+'PORTO VECCHIO 2017'!AK28</f>
        <v>7500</v>
      </c>
      <c r="F10" s="127">
        <f t="shared" si="4"/>
        <v>4238.75</v>
      </c>
      <c r="G10" s="127">
        <f t="shared" si="0"/>
        <v>4991.1429886683609</v>
      </c>
      <c r="H10" s="127">
        <f t="shared" si="5"/>
        <v>4959.1336188894929</v>
      </c>
      <c r="J10" s="119" t="s">
        <v>9</v>
      </c>
      <c r="K10" s="41"/>
      <c r="L10" s="41"/>
      <c r="M10" s="41">
        <f t="shared" si="1"/>
        <v>3.796932839767319E-2</v>
      </c>
      <c r="N10" s="41">
        <f t="shared" si="1"/>
        <v>0</v>
      </c>
      <c r="O10" s="122">
        <f t="shared" si="6"/>
        <v>1.8984664198836595E-2</v>
      </c>
      <c r="P10" s="123">
        <f t="shared" si="7"/>
        <v>3.796932839767319E-2</v>
      </c>
      <c r="Q10" s="123">
        <f t="shared" si="8"/>
        <v>0</v>
      </c>
      <c r="S10" s="119" t="s">
        <v>9</v>
      </c>
      <c r="T10" s="41"/>
      <c r="U10" s="41"/>
      <c r="V10" s="41">
        <f t="shared" si="15"/>
        <v>1.252659186944485</v>
      </c>
      <c r="W10" s="41">
        <f t="shared" ref="W10:W12" si="16">(E81+E65)/(E10+E113)</f>
        <v>1.2850923638075067</v>
      </c>
      <c r="X10" s="146">
        <f t="shared" si="9"/>
        <v>1.2688757753759958</v>
      </c>
      <c r="Y10" s="123">
        <f t="shared" si="10"/>
        <v>1.2850923638075067</v>
      </c>
      <c r="Z10" s="123">
        <f t="shared" si="11"/>
        <v>1.252659186944485</v>
      </c>
      <c r="AB10" s="99" t="s">
        <v>9</v>
      </c>
      <c r="AC10" s="102"/>
      <c r="AD10" s="102"/>
      <c r="AE10" s="105">
        <f>('PORTO VECCHIO 2016'!S11+'PORTO VECCHIO 2016'!S28)/2</f>
        <v>0.67720090293453727</v>
      </c>
      <c r="AF10" s="105">
        <f>('PORTO VECCHIO 2017'!S11+'PORTO VECCHIO 2017'!S28)/2</f>
        <v>0.56433408577878108</v>
      </c>
      <c r="AG10" s="92">
        <f t="shared" si="12"/>
        <v>0.62076749435665923</v>
      </c>
      <c r="AH10" s="135">
        <f t="shared" si="13"/>
        <v>0.67720090293453727</v>
      </c>
      <c r="AI10" s="135">
        <f t="shared" si="14"/>
        <v>0.56433408577878108</v>
      </c>
    </row>
    <row r="11" spans="1:35" x14ac:dyDescent="0.25">
      <c r="A11" s="119" t="s">
        <v>10</v>
      </c>
      <c r="B11" s="89">
        <v>0</v>
      </c>
      <c r="C11" s="89">
        <v>0</v>
      </c>
      <c r="D11" s="133">
        <f>'PORTO VECCHIO 2016'!AK12+'PORTO VECCHIO 2016'!AK29</f>
        <v>5731</v>
      </c>
      <c r="E11" s="133">
        <f>'PORTO VECCHIO 2017'!AK12+'PORTO VECCHIO 2017'!AK29</f>
        <v>7670</v>
      </c>
      <c r="F11" s="127">
        <f t="shared" si="4"/>
        <v>3350.25</v>
      </c>
      <c r="G11" s="127">
        <f t="shared" si="0"/>
        <v>3988.1696302940777</v>
      </c>
      <c r="H11" s="127">
        <f t="shared" si="5"/>
        <v>3948.6943306195108</v>
      </c>
      <c r="J11" s="119" t="s">
        <v>10</v>
      </c>
      <c r="K11" s="41"/>
      <c r="L11" s="41"/>
      <c r="M11" s="41">
        <f t="shared" si="1"/>
        <v>0.2437619961612284</v>
      </c>
      <c r="N11" s="41">
        <f t="shared" si="1"/>
        <v>0.42086049543676662</v>
      </c>
      <c r="O11" s="122">
        <f t="shared" si="6"/>
        <v>0.33231124579899751</v>
      </c>
      <c r="P11" s="123">
        <f t="shared" si="7"/>
        <v>0.42086049543676662</v>
      </c>
      <c r="Q11" s="123">
        <f t="shared" si="8"/>
        <v>0.2437619961612284</v>
      </c>
      <c r="S11" s="119" t="s">
        <v>10</v>
      </c>
      <c r="T11" s="41"/>
      <c r="U11" s="41"/>
      <c r="V11" s="41">
        <f t="shared" si="15"/>
        <v>0.75876370099733381</v>
      </c>
      <c r="W11" s="41">
        <f t="shared" si="16"/>
        <v>0.74280178434641553</v>
      </c>
      <c r="X11" s="122">
        <f t="shared" si="9"/>
        <v>0.75078274267187473</v>
      </c>
      <c r="Y11" s="123">
        <f t="shared" si="10"/>
        <v>0.75876370099733381</v>
      </c>
      <c r="Z11" s="123">
        <f t="shared" si="11"/>
        <v>0.74280178434641553</v>
      </c>
      <c r="AB11" s="99" t="s">
        <v>10</v>
      </c>
      <c r="AC11" s="102"/>
      <c r="AD11" s="102"/>
      <c r="AE11" s="105">
        <f>('PORTO VECCHIO 2016'!S12+'PORTO VECCHIO 2016'!S29)/2</f>
        <v>0.35046728971962615</v>
      </c>
      <c r="AF11" s="105">
        <f>('PORTO VECCHIO 2017'!S12+'PORTO VECCHIO 2017'!S29)/2</f>
        <v>0.46728971962616822</v>
      </c>
      <c r="AG11" s="92">
        <f t="shared" si="12"/>
        <v>0.40887850467289721</v>
      </c>
      <c r="AH11" s="135">
        <f t="shared" si="13"/>
        <v>0.46728971962616822</v>
      </c>
      <c r="AI11" s="135">
        <f t="shared" si="14"/>
        <v>0.35046728971962615</v>
      </c>
    </row>
    <row r="12" spans="1:35" x14ac:dyDescent="0.25">
      <c r="A12" s="119" t="s">
        <v>11</v>
      </c>
      <c r="B12" s="89">
        <v>0</v>
      </c>
      <c r="C12" s="89">
        <v>0</v>
      </c>
      <c r="D12" s="133">
        <f>'PORTO VECCHIO 2016'!AK13+'PORTO VECCHIO 2016'!AK30</f>
        <v>42292</v>
      </c>
      <c r="E12" s="133">
        <f>'PORTO VECCHIO 2017'!AK13+'PORTO VECCHIO 2017'!AK30</f>
        <v>5865</v>
      </c>
      <c r="F12" s="127">
        <f t="shared" si="4"/>
        <v>12039.25</v>
      </c>
      <c r="G12" s="127">
        <f t="shared" si="0"/>
        <v>22912.652319915593</v>
      </c>
      <c r="H12" s="127">
        <f t="shared" si="5"/>
        <v>20357.122641719285</v>
      </c>
      <c r="J12" s="119" t="s">
        <v>11</v>
      </c>
      <c r="K12" s="41"/>
      <c r="L12" s="41"/>
      <c r="M12" s="41">
        <f t="shared" si="1"/>
        <v>0.21888300387780193</v>
      </c>
      <c r="N12" s="41">
        <f t="shared" si="1"/>
        <v>0.29462915601023015</v>
      </c>
      <c r="O12" s="122">
        <f t="shared" si="6"/>
        <v>0.25675607994401606</v>
      </c>
      <c r="P12" s="123">
        <f t="shared" si="7"/>
        <v>0.29462915601023015</v>
      </c>
      <c r="Q12" s="123">
        <f t="shared" si="8"/>
        <v>0.21888300387780193</v>
      </c>
      <c r="S12" s="119" t="s">
        <v>11</v>
      </c>
      <c r="T12" s="41"/>
      <c r="U12" s="41"/>
      <c r="V12" s="41">
        <f t="shared" si="15"/>
        <v>0.38139313840861772</v>
      </c>
      <c r="W12" s="41">
        <f t="shared" si="16"/>
        <v>1.1338745007086715</v>
      </c>
      <c r="X12" s="122">
        <f t="shared" si="9"/>
        <v>0.75763381955864462</v>
      </c>
      <c r="Y12" s="123">
        <f t="shared" si="10"/>
        <v>1.1338745007086715</v>
      </c>
      <c r="Z12" s="123">
        <f t="shared" si="11"/>
        <v>0.38139313840861772</v>
      </c>
      <c r="AB12" s="99" t="s">
        <v>11</v>
      </c>
      <c r="AC12" s="102"/>
      <c r="AD12" s="102"/>
      <c r="AE12" s="105">
        <f>('PORTO VECCHIO 2016'!S13+'PORTO VECCHIO 2016'!S30)/2</f>
        <v>2.4830699774266369</v>
      </c>
      <c r="AF12" s="105">
        <f>('PORTO VECCHIO 2017'!S13+'PORTO VECCHIO 2017'!S30)/2</f>
        <v>0.33860045146726869</v>
      </c>
      <c r="AG12" s="92">
        <f t="shared" si="12"/>
        <v>1.4108352144469527</v>
      </c>
      <c r="AH12" s="135">
        <f t="shared" si="13"/>
        <v>2.4830699774266369</v>
      </c>
      <c r="AI12" s="135">
        <f t="shared" si="14"/>
        <v>0.33860045146726869</v>
      </c>
    </row>
    <row r="13" spans="1:35" x14ac:dyDescent="0.25">
      <c r="A13" s="119" t="s">
        <v>12</v>
      </c>
      <c r="B13" s="89">
        <v>0</v>
      </c>
      <c r="C13" s="89">
        <v>0</v>
      </c>
      <c r="D13" s="133">
        <f>'PORTO VECCHIO 2016'!AK14+'PORTO VECCHIO 2016'!AK31</f>
        <v>1880</v>
      </c>
      <c r="E13" s="133"/>
      <c r="F13" s="127">
        <f t="shared" si="4"/>
        <v>626.66666666666663</v>
      </c>
      <c r="G13" s="127">
        <f t="shared" si="0"/>
        <v>1329.3607486307094</v>
      </c>
      <c r="H13" s="127">
        <f t="shared" si="5"/>
        <v>1085.4185060764964</v>
      </c>
      <c r="J13" s="119" t="s">
        <v>12</v>
      </c>
      <c r="K13" s="41"/>
      <c r="L13" s="41"/>
      <c r="M13" s="41">
        <f t="shared" si="1"/>
        <v>0.50106382978723407</v>
      </c>
      <c r="N13" s="41"/>
      <c r="O13" s="122">
        <f t="shared" si="6"/>
        <v>0.50106382978723407</v>
      </c>
      <c r="P13" s="123">
        <f t="shared" si="7"/>
        <v>0.50106382978723407</v>
      </c>
      <c r="Q13" s="123">
        <f t="shared" si="8"/>
        <v>0.50106382978723407</v>
      </c>
      <c r="S13" s="119" t="s">
        <v>12</v>
      </c>
      <c r="T13" s="41"/>
      <c r="U13" s="41"/>
      <c r="V13" s="41">
        <f t="shared" si="15"/>
        <v>0.39959263729631866</v>
      </c>
      <c r="W13" s="41"/>
      <c r="X13" s="122">
        <f t="shared" si="9"/>
        <v>0.39959263729631866</v>
      </c>
      <c r="Y13" s="123">
        <f t="shared" si="10"/>
        <v>0.39959263729631866</v>
      </c>
      <c r="Z13" s="123">
        <f t="shared" si="11"/>
        <v>0.39959263729631866</v>
      </c>
      <c r="AB13" s="99" t="s">
        <v>12</v>
      </c>
      <c r="AC13" s="102"/>
      <c r="AD13" s="102"/>
      <c r="AE13" s="105">
        <f>('PORTO VECCHIO 2016'!S14+'PORTO VECCHIO 2016'!S31)/2</f>
        <v>0.11682242990654206</v>
      </c>
      <c r="AF13" s="106"/>
      <c r="AG13" s="92">
        <f t="shared" si="12"/>
        <v>0.11682242990654206</v>
      </c>
      <c r="AH13" s="135">
        <f t="shared" si="13"/>
        <v>0.11682242990654206</v>
      </c>
      <c r="AI13" s="135">
        <f t="shared" si="14"/>
        <v>0.11682242990654206</v>
      </c>
    </row>
    <row r="14" spans="1:35" ht="15.75" thickBot="1" x14ac:dyDescent="0.3">
      <c r="A14" s="119" t="s">
        <v>13</v>
      </c>
      <c r="B14" s="89">
        <v>0</v>
      </c>
      <c r="C14" s="89">
        <v>0</v>
      </c>
      <c r="D14" s="133">
        <f>'PORTO VECCHIO 2016'!AK15+'PORTO VECCHIO 2016'!AK32</f>
        <v>21505</v>
      </c>
      <c r="E14" s="133"/>
      <c r="F14" s="127">
        <f t="shared" si="4"/>
        <v>7168.333333333333</v>
      </c>
      <c r="G14" s="127">
        <f t="shared" si="0"/>
        <v>15206.331329416704</v>
      </c>
      <c r="H14" s="127">
        <f t="shared" si="5"/>
        <v>12415.917538922902</v>
      </c>
      <c r="J14" s="139" t="s">
        <v>13</v>
      </c>
      <c r="K14" s="66"/>
      <c r="L14" s="66"/>
      <c r="M14" s="66">
        <f t="shared" si="1"/>
        <v>0.1704254824459428</v>
      </c>
      <c r="N14" s="66"/>
      <c r="O14" s="122">
        <f t="shared" si="6"/>
        <v>0.1704254824459428</v>
      </c>
      <c r="P14" s="123">
        <f t="shared" si="7"/>
        <v>0.1704254824459428</v>
      </c>
      <c r="Q14" s="123">
        <f t="shared" si="8"/>
        <v>0.1704254824459428</v>
      </c>
      <c r="S14" s="139" t="s">
        <v>13</v>
      </c>
      <c r="T14" s="66"/>
      <c r="U14" s="66"/>
      <c r="V14" s="41">
        <f t="shared" si="15"/>
        <v>0.2593899212311061</v>
      </c>
      <c r="W14" s="66"/>
      <c r="X14" s="122">
        <f t="shared" si="9"/>
        <v>0.2593899212311061</v>
      </c>
      <c r="Y14" s="123">
        <f t="shared" si="10"/>
        <v>0.2593899212311061</v>
      </c>
      <c r="Z14" s="123">
        <f t="shared" si="11"/>
        <v>0.2593899212311061</v>
      </c>
      <c r="AB14" s="100" t="s">
        <v>13</v>
      </c>
      <c r="AC14" s="104"/>
      <c r="AD14" s="104"/>
      <c r="AE14" s="107">
        <f>('PORTO VECCHIO 2016'!S15+'PORTO VECCHIO 2016'!S32)/2</f>
        <v>1.2415349887133185</v>
      </c>
      <c r="AF14" s="108"/>
      <c r="AG14" s="92">
        <f t="shared" si="12"/>
        <v>1.2415349887133185</v>
      </c>
      <c r="AH14" s="135">
        <f t="shared" si="13"/>
        <v>1.2415349887133185</v>
      </c>
      <c r="AI14" s="135">
        <f t="shared" si="14"/>
        <v>1.2415349887133185</v>
      </c>
    </row>
    <row r="15" spans="1:35" ht="16.5" thickTop="1" thickBot="1" x14ac:dyDescent="0.3">
      <c r="A15" s="128" t="s">
        <v>0</v>
      </c>
      <c r="B15" s="129">
        <f t="shared" ref="B15:D15" si="17">SUM(B3:B14)</f>
        <v>1060</v>
      </c>
      <c r="C15" s="129">
        <f t="shared" si="17"/>
        <v>0</v>
      </c>
      <c r="D15" s="129">
        <f t="shared" si="17"/>
        <v>92386</v>
      </c>
      <c r="E15" s="129">
        <f>SUM(E3:E14)</f>
        <v>50048</v>
      </c>
      <c r="J15" s="138" t="s">
        <v>1</v>
      </c>
      <c r="K15" s="61">
        <f>AVERAGE(K3:K14)</f>
        <v>0.1169811320754717</v>
      </c>
      <c r="L15" s="61" t="e">
        <f t="shared" ref="L15:M15" si="18">AVERAGE(L3:L14)</f>
        <v>#DIV/0!</v>
      </c>
      <c r="M15" s="61">
        <f t="shared" si="18"/>
        <v>0.22996658725066085</v>
      </c>
      <c r="N15" s="61">
        <f>AVERAGE(N3:N14)</f>
        <v>0.2921090049986434</v>
      </c>
      <c r="S15" s="138" t="s">
        <v>1</v>
      </c>
      <c r="T15" s="61">
        <f>AVERAGE(T3:T14)</f>
        <v>2.5933962264150945</v>
      </c>
      <c r="U15" s="61"/>
      <c r="V15" s="61">
        <f t="shared" ref="V15:W15" si="19">AVERAGE(V3:V14)</f>
        <v>0.79916293560206653</v>
      </c>
      <c r="W15" s="61">
        <f t="shared" si="19"/>
        <v>1.4907707798748575</v>
      </c>
      <c r="AB15" s="101" t="s">
        <v>1</v>
      </c>
      <c r="AC15" s="103"/>
      <c r="AD15" s="103"/>
      <c r="AE15" s="91">
        <f t="shared" ref="AE15:AF15" si="20">AVERAGE(AE3:AE14)</f>
        <v>0.46350991188652851</v>
      </c>
      <c r="AF15" s="91">
        <f t="shared" si="20"/>
        <v>0.30909158034640621</v>
      </c>
      <c r="AG15" s="96"/>
      <c r="AH15" s="96"/>
      <c r="AI15" s="96"/>
    </row>
    <row r="16" spans="1:35" ht="15.75" thickTop="1" x14ac:dyDescent="0.25">
      <c r="A16" s="144" t="s">
        <v>72</v>
      </c>
      <c r="B16" s="39"/>
      <c r="F16" s="127"/>
    </row>
    <row r="17" spans="1:29" x14ac:dyDescent="0.25">
      <c r="A17" s="130" t="s">
        <v>15</v>
      </c>
      <c r="B17" s="127">
        <f t="shared" ref="B17:H17" si="21">AVERAGE(B3:B5,B12:B14)</f>
        <v>176.66666666666666</v>
      </c>
      <c r="C17" s="127">
        <f t="shared" si="21"/>
        <v>0</v>
      </c>
      <c r="D17" s="127">
        <f>AVERAGE(D3:D5,D12:D14)</f>
        <v>11262.166666666666</v>
      </c>
      <c r="E17" s="127">
        <f>AVERAGE(E3:E5,E12:E14)</f>
        <v>1940.25</v>
      </c>
      <c r="F17" s="127">
        <f t="shared" si="21"/>
        <v>3507.875</v>
      </c>
      <c r="G17" s="127">
        <f t="shared" si="21"/>
        <v>6757.1667513910897</v>
      </c>
      <c r="H17" s="127">
        <f t="shared" si="21"/>
        <v>5913.8524661837027</v>
      </c>
      <c r="I17" s="127"/>
    </row>
    <row r="18" spans="1:29" x14ac:dyDescent="0.25">
      <c r="A18" s="130" t="s">
        <v>16</v>
      </c>
      <c r="B18" s="127">
        <f t="shared" ref="B18:H18" si="22">AVERAGE(B6:B11)</f>
        <v>0</v>
      </c>
      <c r="C18" s="127">
        <f t="shared" si="22"/>
        <v>0</v>
      </c>
      <c r="D18" s="127">
        <f t="shared" si="22"/>
        <v>4135.5</v>
      </c>
      <c r="E18" s="127">
        <f t="shared" si="22"/>
        <v>7047.833333333333</v>
      </c>
      <c r="F18" s="127">
        <f t="shared" si="22"/>
        <v>2795.8333333333335</v>
      </c>
      <c r="G18" s="127">
        <f t="shared" si="22"/>
        <v>4027.798990406458</v>
      </c>
      <c r="H18" s="127">
        <f t="shared" si="22"/>
        <v>3804.7439880257002</v>
      </c>
      <c r="I18" s="127"/>
    </row>
    <row r="19" spans="1:29" ht="15.75" thickBot="1" x14ac:dyDescent="0.3"/>
    <row r="20" spans="1:29" ht="17.25" thickTop="1" thickBot="1" x14ac:dyDescent="0.3">
      <c r="A20" s="140" t="s">
        <v>93</v>
      </c>
      <c r="B20" s="141"/>
      <c r="C20" s="141"/>
      <c r="D20" s="141"/>
      <c r="E20" s="141"/>
      <c r="F20" s="142"/>
      <c r="J20" s="140" t="s">
        <v>126</v>
      </c>
      <c r="K20" s="141"/>
      <c r="L20" s="141"/>
      <c r="M20" s="141"/>
      <c r="N20" s="141"/>
      <c r="O20" s="142"/>
    </row>
    <row r="21" spans="1:29" ht="16.5" thickTop="1" x14ac:dyDescent="0.25">
      <c r="A21" s="124"/>
      <c r="B21" s="125">
        <v>2014</v>
      </c>
      <c r="C21" s="125">
        <v>2015</v>
      </c>
      <c r="D21" s="125">
        <v>2016</v>
      </c>
      <c r="E21" s="125">
        <v>2017</v>
      </c>
      <c r="F21" s="126" t="s">
        <v>1</v>
      </c>
      <c r="G21" s="117" t="s">
        <v>18</v>
      </c>
      <c r="H21" s="117" t="s">
        <v>17</v>
      </c>
      <c r="J21" s="124"/>
      <c r="K21" s="125">
        <v>2014</v>
      </c>
      <c r="L21" s="125">
        <v>2015</v>
      </c>
      <c r="M21" s="125">
        <v>2016</v>
      </c>
      <c r="N21" s="125">
        <v>2017</v>
      </c>
      <c r="O21" s="126" t="s">
        <v>1</v>
      </c>
      <c r="P21" s="86" t="s">
        <v>18</v>
      </c>
      <c r="Q21" s="86" t="s">
        <v>17</v>
      </c>
    </row>
    <row r="22" spans="1:29" x14ac:dyDescent="0.25">
      <c r="A22" s="119" t="s">
        <v>2</v>
      </c>
      <c r="B22" s="84">
        <v>0</v>
      </c>
      <c r="C22" s="84">
        <v>0</v>
      </c>
      <c r="D22" s="84">
        <v>0</v>
      </c>
      <c r="E22" s="84">
        <v>1084</v>
      </c>
      <c r="F22" s="127">
        <v>0</v>
      </c>
      <c r="G22" s="127">
        <v>0</v>
      </c>
      <c r="H22" s="127">
        <v>0</v>
      </c>
      <c r="J22" s="119" t="s">
        <v>2</v>
      </c>
      <c r="K22" s="77">
        <f>(B3+B106)-(B90)</f>
        <v>-1313</v>
      </c>
      <c r="L22" s="77">
        <f t="shared" ref="L22:N31" si="23">(C3+C106)-(C90)</f>
        <v>-2362</v>
      </c>
      <c r="M22" s="77">
        <f t="shared" si="23"/>
        <v>127</v>
      </c>
      <c r="N22" s="77">
        <f t="shared" si="23"/>
        <v>-3233</v>
      </c>
      <c r="O22" s="92">
        <f>AVERAGE(K22:N22)</f>
        <v>-1695.25</v>
      </c>
      <c r="P22" s="135">
        <f>MAX(K22:N22)</f>
        <v>127</v>
      </c>
      <c r="Q22" s="135">
        <f>MIN(K22:N22)</f>
        <v>-3233</v>
      </c>
    </row>
    <row r="23" spans="1:29" ht="18.75" x14ac:dyDescent="0.3">
      <c r="A23" s="119" t="s">
        <v>3</v>
      </c>
      <c r="B23" s="84">
        <v>124</v>
      </c>
      <c r="C23" s="84">
        <v>0</v>
      </c>
      <c r="D23" s="83">
        <v>0</v>
      </c>
      <c r="E23" s="84">
        <v>865</v>
      </c>
      <c r="F23" s="127">
        <v>17.714285714285715</v>
      </c>
      <c r="G23" s="127">
        <v>46.867594653144181</v>
      </c>
      <c r="H23" s="127">
        <v>46.867594653144181</v>
      </c>
      <c r="J23" s="119" t="s">
        <v>3</v>
      </c>
      <c r="K23" s="77">
        <f t="shared" ref="K23:K33" si="24">(B4+B107)-(B91)</f>
        <v>-1689</v>
      </c>
      <c r="L23" s="77">
        <f t="shared" si="23"/>
        <v>-2331</v>
      </c>
      <c r="M23" s="77">
        <f t="shared" si="23"/>
        <v>-2761</v>
      </c>
      <c r="N23" s="77">
        <f t="shared" si="23"/>
        <v>-5762</v>
      </c>
      <c r="O23" s="92">
        <f t="shared" ref="O23:O33" si="25">AVERAGE(K23:N23)</f>
        <v>-3135.75</v>
      </c>
      <c r="P23" s="135">
        <f t="shared" ref="P23:P33" si="26">MAX(K23:N23)</f>
        <v>-1689</v>
      </c>
      <c r="Q23" s="135">
        <f t="shared" ref="Q23:Q33" si="27">MIN(K23:N23)</f>
        <v>-5762</v>
      </c>
      <c r="AC23" s="85"/>
    </row>
    <row r="24" spans="1:29" x14ac:dyDescent="0.25">
      <c r="A24" s="119" t="s">
        <v>4</v>
      </c>
      <c r="B24" s="84">
        <v>0</v>
      </c>
      <c r="C24" s="84">
        <v>0</v>
      </c>
      <c r="D24" s="83">
        <v>0</v>
      </c>
      <c r="E24" s="84">
        <v>1044</v>
      </c>
      <c r="F24" s="127">
        <v>0</v>
      </c>
      <c r="G24" s="127">
        <v>0</v>
      </c>
      <c r="H24" s="127">
        <v>0</v>
      </c>
      <c r="J24" s="119" t="s">
        <v>4</v>
      </c>
      <c r="K24" s="77">
        <f t="shared" si="24"/>
        <v>-3760</v>
      </c>
      <c r="L24" s="77">
        <f t="shared" si="23"/>
        <v>-2736</v>
      </c>
      <c r="M24" s="77">
        <f t="shared" si="23"/>
        <v>-2742</v>
      </c>
      <c r="N24" s="77">
        <f t="shared" si="23"/>
        <v>-5602</v>
      </c>
      <c r="O24" s="92">
        <f t="shared" si="25"/>
        <v>-3710</v>
      </c>
      <c r="P24" s="135">
        <f t="shared" si="26"/>
        <v>-2736</v>
      </c>
      <c r="Q24" s="135">
        <f t="shared" si="27"/>
        <v>-5602</v>
      </c>
    </row>
    <row r="25" spans="1:29" x14ac:dyDescent="0.25">
      <c r="A25" s="119" t="s">
        <v>5</v>
      </c>
      <c r="B25" s="84">
        <v>0</v>
      </c>
      <c r="C25" s="84">
        <v>0</v>
      </c>
      <c r="D25" s="84">
        <v>0</v>
      </c>
      <c r="E25" s="84">
        <v>886</v>
      </c>
      <c r="F25" s="127">
        <v>0</v>
      </c>
      <c r="G25" s="127">
        <v>0</v>
      </c>
      <c r="H25" s="127">
        <v>0</v>
      </c>
      <c r="J25" s="119" t="s">
        <v>5</v>
      </c>
      <c r="K25" s="77">
        <f t="shared" si="24"/>
        <v>-5509</v>
      </c>
      <c r="L25" s="77">
        <f t="shared" si="23"/>
        <v>-5503</v>
      </c>
      <c r="M25" s="77">
        <f t="shared" si="23"/>
        <v>-5518</v>
      </c>
      <c r="N25" s="77">
        <f>(E6+E109)-(E93)</f>
        <v>-4722</v>
      </c>
      <c r="O25" s="92">
        <f t="shared" si="25"/>
        <v>-5313</v>
      </c>
      <c r="P25" s="135">
        <f t="shared" si="26"/>
        <v>-4722</v>
      </c>
      <c r="Q25" s="135">
        <f t="shared" si="27"/>
        <v>-5518</v>
      </c>
    </row>
    <row r="26" spans="1:29" x14ac:dyDescent="0.25">
      <c r="A26" s="119" t="s">
        <v>6</v>
      </c>
      <c r="B26" s="84">
        <v>0</v>
      </c>
      <c r="C26" s="84">
        <v>0</v>
      </c>
      <c r="D26" s="84">
        <v>0</v>
      </c>
      <c r="E26" s="84">
        <v>1139</v>
      </c>
      <c r="F26" s="127">
        <v>0</v>
      </c>
      <c r="G26" s="127">
        <v>0</v>
      </c>
      <c r="H26" s="127">
        <v>0</v>
      </c>
      <c r="J26" s="119" t="s">
        <v>6</v>
      </c>
      <c r="K26" s="77">
        <f t="shared" si="24"/>
        <v>-9066</v>
      </c>
      <c r="L26" s="77">
        <f t="shared" si="23"/>
        <v>-7408</v>
      </c>
      <c r="M26" s="77">
        <f t="shared" si="23"/>
        <v>-7567</v>
      </c>
      <c r="N26" s="77">
        <f t="shared" si="23"/>
        <v>-4743</v>
      </c>
      <c r="O26" s="92">
        <f t="shared" si="25"/>
        <v>-7196</v>
      </c>
      <c r="P26" s="135">
        <f t="shared" si="26"/>
        <v>-4743</v>
      </c>
      <c r="Q26" s="135">
        <f t="shared" si="27"/>
        <v>-9066</v>
      </c>
    </row>
    <row r="27" spans="1:29" x14ac:dyDescent="0.25">
      <c r="A27" s="119" t="s">
        <v>7</v>
      </c>
      <c r="B27" s="84">
        <v>0</v>
      </c>
      <c r="C27" s="84">
        <v>0</v>
      </c>
      <c r="D27" s="84">
        <v>1496</v>
      </c>
      <c r="E27" s="84">
        <v>1347</v>
      </c>
      <c r="F27" s="127">
        <v>213.71428571428572</v>
      </c>
      <c r="G27" s="127">
        <v>565.43485162180389</v>
      </c>
      <c r="H27" s="127">
        <v>565.43485162180389</v>
      </c>
      <c r="J27" s="119" t="s">
        <v>7</v>
      </c>
      <c r="K27" s="77">
        <f t="shared" si="24"/>
        <v>-8806</v>
      </c>
      <c r="L27" s="77">
        <f t="shared" si="23"/>
        <v>-8999</v>
      </c>
      <c r="M27" s="77">
        <f t="shared" si="23"/>
        <v>4124</v>
      </c>
      <c r="N27" s="77">
        <f t="shared" si="23"/>
        <v>3814</v>
      </c>
      <c r="O27" s="92">
        <f t="shared" si="25"/>
        <v>-2466.75</v>
      </c>
      <c r="P27" s="135">
        <f t="shared" si="26"/>
        <v>4124</v>
      </c>
      <c r="Q27" s="135">
        <f t="shared" si="27"/>
        <v>-8999</v>
      </c>
    </row>
    <row r="28" spans="1:29" x14ac:dyDescent="0.25">
      <c r="A28" s="119" t="s">
        <v>8</v>
      </c>
      <c r="B28" s="84">
        <v>3389</v>
      </c>
      <c r="C28" s="84">
        <v>0</v>
      </c>
      <c r="D28" s="84">
        <v>924</v>
      </c>
      <c r="E28" s="84">
        <v>4199</v>
      </c>
      <c r="F28" s="127">
        <v>1064</v>
      </c>
      <c r="G28" s="127">
        <v>1728.4976961842576</v>
      </c>
      <c r="H28" s="127">
        <v>1728.4976961842576</v>
      </c>
      <c r="J28" s="119" t="s">
        <v>8</v>
      </c>
      <c r="K28" s="77">
        <f t="shared" si="24"/>
        <v>-14942</v>
      </c>
      <c r="L28" s="77">
        <f t="shared" ref="L28:L33" si="28">(C9+C112)-(C96)</f>
        <v>-15288</v>
      </c>
      <c r="M28" s="77">
        <f t="shared" ref="M28:M33" si="29">(D9+D112)-(D96)</f>
        <v>-10778</v>
      </c>
      <c r="N28" s="77">
        <f t="shared" si="23"/>
        <v>-6174</v>
      </c>
      <c r="O28" s="92">
        <f t="shared" si="25"/>
        <v>-11795.5</v>
      </c>
      <c r="P28" s="135">
        <f t="shared" si="26"/>
        <v>-6174</v>
      </c>
      <c r="Q28" s="135">
        <f t="shared" si="27"/>
        <v>-15288</v>
      </c>
    </row>
    <row r="29" spans="1:29" x14ac:dyDescent="0.25">
      <c r="A29" s="119" t="s">
        <v>9</v>
      </c>
      <c r="B29" s="84">
        <v>10848</v>
      </c>
      <c r="C29" s="84">
        <v>0</v>
      </c>
      <c r="D29" s="84">
        <v>359</v>
      </c>
      <c r="E29" s="84">
        <v>0</v>
      </c>
      <c r="F29" s="127">
        <v>1601</v>
      </c>
      <c r="G29" s="127">
        <v>4079.7381043395421</v>
      </c>
      <c r="H29" s="127">
        <v>4079.7381043395421</v>
      </c>
      <c r="J29" s="119" t="s">
        <v>9</v>
      </c>
      <c r="K29" s="77">
        <f t="shared" si="24"/>
        <v>-32834</v>
      </c>
      <c r="L29" s="77">
        <f t="shared" si="28"/>
        <v>-21513</v>
      </c>
      <c r="M29" s="77">
        <f t="shared" si="29"/>
        <v>-6936</v>
      </c>
      <c r="N29" s="77">
        <f t="shared" si="23"/>
        <v>-7269</v>
      </c>
      <c r="O29" s="92">
        <f t="shared" si="25"/>
        <v>-17138</v>
      </c>
      <c r="P29" s="135">
        <f t="shared" si="26"/>
        <v>-6936</v>
      </c>
      <c r="Q29" s="135">
        <f t="shared" si="27"/>
        <v>-32834</v>
      </c>
    </row>
    <row r="30" spans="1:29" x14ac:dyDescent="0.25">
      <c r="A30" s="119" t="s">
        <v>10</v>
      </c>
      <c r="B30" s="84">
        <v>0</v>
      </c>
      <c r="C30" s="84">
        <v>0</v>
      </c>
      <c r="D30" s="84">
        <v>1397</v>
      </c>
      <c r="E30" s="84">
        <v>3228</v>
      </c>
      <c r="F30" s="127">
        <v>199.57142857142858</v>
      </c>
      <c r="G30" s="127">
        <v>528.01636879389048</v>
      </c>
      <c r="H30" s="127">
        <v>528.01636879389048</v>
      </c>
      <c r="J30" s="119" t="s">
        <v>10</v>
      </c>
      <c r="K30" s="77">
        <f t="shared" si="24"/>
        <v>-10049</v>
      </c>
      <c r="L30" s="77">
        <f t="shared" si="28"/>
        <v>-9428</v>
      </c>
      <c r="M30" s="77">
        <f t="shared" si="29"/>
        <v>4886</v>
      </c>
      <c r="N30" s="77">
        <f t="shared" si="23"/>
        <v>5708</v>
      </c>
      <c r="O30" s="92">
        <f t="shared" si="25"/>
        <v>-2220.75</v>
      </c>
      <c r="P30" s="135">
        <f t="shared" si="26"/>
        <v>5708</v>
      </c>
      <c r="Q30" s="135">
        <f t="shared" si="27"/>
        <v>-10049</v>
      </c>
    </row>
    <row r="31" spans="1:29" x14ac:dyDescent="0.25">
      <c r="A31" s="119" t="s">
        <v>11</v>
      </c>
      <c r="B31" s="84">
        <v>0</v>
      </c>
      <c r="C31" s="84">
        <v>0</v>
      </c>
      <c r="D31" s="84">
        <v>9257</v>
      </c>
      <c r="E31" s="84">
        <v>1728</v>
      </c>
      <c r="F31" s="127">
        <v>1322.4285714285713</v>
      </c>
      <c r="G31" s="127">
        <v>3498.8171266464165</v>
      </c>
      <c r="H31" s="127">
        <v>3498.8171266464165</v>
      </c>
      <c r="J31" s="119" t="s">
        <v>11</v>
      </c>
      <c r="K31" s="77">
        <f t="shared" si="24"/>
        <v>-6593</v>
      </c>
      <c r="L31" s="77">
        <f t="shared" si="28"/>
        <v>-6916</v>
      </c>
      <c r="M31" s="77">
        <f t="shared" si="29"/>
        <v>27335</v>
      </c>
      <c r="N31" s="77">
        <f t="shared" si="23"/>
        <v>-1039</v>
      </c>
      <c r="O31" s="92">
        <f t="shared" si="25"/>
        <v>3196.75</v>
      </c>
      <c r="P31" s="135">
        <f t="shared" si="26"/>
        <v>27335</v>
      </c>
      <c r="Q31" s="135">
        <f t="shared" si="27"/>
        <v>-6916</v>
      </c>
    </row>
    <row r="32" spans="1:29" x14ac:dyDescent="0.25">
      <c r="A32" s="119" t="s">
        <v>12</v>
      </c>
      <c r="B32" s="84">
        <v>0</v>
      </c>
      <c r="C32" s="84">
        <v>0</v>
      </c>
      <c r="D32" s="84">
        <v>942</v>
      </c>
      <c r="E32" s="84"/>
      <c r="F32" s="127">
        <v>134.57142857142858</v>
      </c>
      <c r="G32" s="127">
        <v>356.04253357469207</v>
      </c>
      <c r="H32" s="127">
        <v>356.04253357469207</v>
      </c>
      <c r="J32" s="119" t="s">
        <v>12</v>
      </c>
      <c r="K32" s="77">
        <f t="shared" si="24"/>
        <v>-2674</v>
      </c>
      <c r="L32" s="77">
        <f t="shared" si="28"/>
        <v>-2345</v>
      </c>
      <c r="M32" s="77">
        <f t="shared" si="29"/>
        <v>7959</v>
      </c>
      <c r="N32" s="77"/>
      <c r="O32" s="92">
        <f t="shared" si="25"/>
        <v>980</v>
      </c>
      <c r="P32" s="135">
        <f t="shared" si="26"/>
        <v>7959</v>
      </c>
      <c r="Q32" s="135">
        <f t="shared" si="27"/>
        <v>-2674</v>
      </c>
    </row>
    <row r="33" spans="1:17" ht="15.75" thickBot="1" x14ac:dyDescent="0.3">
      <c r="A33" s="119" t="s">
        <v>13</v>
      </c>
      <c r="B33" s="133">
        <v>0</v>
      </c>
      <c r="C33" s="133">
        <v>0</v>
      </c>
      <c r="D33" s="46">
        <v>3665</v>
      </c>
      <c r="E33" s="46"/>
      <c r="F33" s="127">
        <v>523.57142857142856</v>
      </c>
      <c r="G33" s="127">
        <v>1385.2397935788179</v>
      </c>
      <c r="H33" s="127">
        <v>1385.2397935788179</v>
      </c>
      <c r="J33" s="139" t="s">
        <v>13</v>
      </c>
      <c r="K33" s="43">
        <f t="shared" si="24"/>
        <v>-3072</v>
      </c>
      <c r="L33" s="43">
        <f t="shared" si="28"/>
        <v>-3466</v>
      </c>
      <c r="M33" s="43">
        <f t="shared" si="29"/>
        <v>24352</v>
      </c>
      <c r="N33" s="43"/>
      <c r="O33" s="92">
        <f t="shared" si="25"/>
        <v>5938</v>
      </c>
      <c r="P33" s="135">
        <f t="shared" si="26"/>
        <v>24352</v>
      </c>
      <c r="Q33" s="135">
        <f t="shared" si="27"/>
        <v>-3466</v>
      </c>
    </row>
    <row r="34" spans="1:17" ht="16.5" thickTop="1" thickBot="1" x14ac:dyDescent="0.3">
      <c r="A34" s="128" t="s">
        <v>0</v>
      </c>
      <c r="B34" s="129">
        <f t="shared" ref="B34:D34" si="30">SUM(B22:B33)</f>
        <v>14361</v>
      </c>
      <c r="C34" s="129">
        <f t="shared" si="30"/>
        <v>0</v>
      </c>
      <c r="D34" s="129">
        <f t="shared" si="30"/>
        <v>18040</v>
      </c>
      <c r="E34" s="129">
        <f>SUM(E22:E33)</f>
        <v>15520</v>
      </c>
      <c r="J34" s="138" t="s">
        <v>0</v>
      </c>
      <c r="K34" s="137">
        <f>SUM(K22:K33)</f>
        <v>-100307</v>
      </c>
      <c r="L34" s="137">
        <f>SUM(L22:L33)</f>
        <v>-88295</v>
      </c>
      <c r="M34" s="137">
        <f>SUM(M22:M33)</f>
        <v>32481</v>
      </c>
      <c r="N34" s="137">
        <f>SUM(N22:N33)</f>
        <v>-29022</v>
      </c>
    </row>
    <row r="35" spans="1:17" ht="15.75" thickTop="1" x14ac:dyDescent="0.25">
      <c r="A35" s="1" t="s">
        <v>14</v>
      </c>
      <c r="B35" s="1"/>
      <c r="C35" s="1"/>
      <c r="D35" s="1"/>
      <c r="E35" s="1"/>
      <c r="F35" s="1"/>
    </row>
    <row r="36" spans="1:17" x14ac:dyDescent="0.25">
      <c r="A36" s="130" t="s">
        <v>15</v>
      </c>
      <c r="B36" s="127">
        <f t="shared" ref="B36:H36" si="31">AVERAGE(B22:B24,B31:B33)</f>
        <v>20.666666666666668</v>
      </c>
      <c r="C36" s="127">
        <f t="shared" si="31"/>
        <v>0</v>
      </c>
      <c r="D36" s="127">
        <f t="shared" si="31"/>
        <v>2310.6666666666665</v>
      </c>
      <c r="E36" s="127">
        <f t="shared" si="31"/>
        <v>1180.25</v>
      </c>
      <c r="F36" s="127">
        <f t="shared" si="31"/>
        <v>333.04761904761904</v>
      </c>
      <c r="G36" s="127">
        <f t="shared" si="31"/>
        <v>881.16117474217845</v>
      </c>
      <c r="H36" s="127">
        <f t="shared" si="31"/>
        <v>881.16117474217845</v>
      </c>
    </row>
    <row r="37" spans="1:17" x14ac:dyDescent="0.25">
      <c r="A37" s="130" t="s">
        <v>16</v>
      </c>
      <c r="B37" s="127">
        <f t="shared" ref="B37:H37" si="32">AVERAGE(B25:B30)</f>
        <v>2372.8333333333335</v>
      </c>
      <c r="C37" s="127">
        <f t="shared" si="32"/>
        <v>0</v>
      </c>
      <c r="D37" s="127">
        <f t="shared" si="32"/>
        <v>696</v>
      </c>
      <c r="E37" s="127">
        <f t="shared" si="32"/>
        <v>1799.8333333333333</v>
      </c>
      <c r="F37" s="127">
        <f t="shared" si="32"/>
        <v>513.04761904761904</v>
      </c>
      <c r="G37" s="127">
        <f t="shared" si="32"/>
        <v>1150.2811701565822</v>
      </c>
      <c r="H37" s="127">
        <f t="shared" si="32"/>
        <v>1150.2811701565822</v>
      </c>
    </row>
    <row r="38" spans="1:17" ht="15.75" thickBot="1" x14ac:dyDescent="0.3"/>
    <row r="39" spans="1:17" ht="17.25" thickTop="1" thickBot="1" x14ac:dyDescent="0.3">
      <c r="A39" s="140" t="s">
        <v>94</v>
      </c>
      <c r="B39" s="141"/>
      <c r="C39" s="141"/>
      <c r="D39" s="141"/>
      <c r="E39" s="141"/>
      <c r="F39" s="142"/>
      <c r="J39" s="149" t="s">
        <v>250</v>
      </c>
      <c r="K39" s="164"/>
      <c r="L39" s="164"/>
      <c r="M39" s="164"/>
      <c r="N39" s="164"/>
    </row>
    <row r="40" spans="1:17" ht="16.5" thickTop="1" x14ac:dyDescent="0.25">
      <c r="A40" s="124"/>
      <c r="B40" s="125">
        <v>2014</v>
      </c>
      <c r="C40" s="125">
        <v>2015</v>
      </c>
      <c r="D40" s="125">
        <v>2016</v>
      </c>
      <c r="E40" s="125">
        <v>2017</v>
      </c>
      <c r="J40" s="151"/>
      <c r="K40" s="147">
        <v>2014</v>
      </c>
      <c r="L40" s="147">
        <v>2015</v>
      </c>
      <c r="M40" s="147">
        <v>2016</v>
      </c>
      <c r="N40" s="147">
        <v>2017</v>
      </c>
    </row>
    <row r="41" spans="1:17" x14ac:dyDescent="0.25">
      <c r="A41" s="119" t="s">
        <v>2</v>
      </c>
      <c r="B41" s="84">
        <v>1313</v>
      </c>
      <c r="C41" s="84">
        <v>2362</v>
      </c>
      <c r="D41" s="84">
        <v>1769</v>
      </c>
      <c r="E41" s="84">
        <v>2485</v>
      </c>
      <c r="J41" s="153" t="s">
        <v>2</v>
      </c>
      <c r="K41" s="77">
        <f>-1*K22</f>
        <v>1313</v>
      </c>
      <c r="L41" s="77">
        <f t="shared" ref="L41:N41" si="33">-1*L22</f>
        <v>2362</v>
      </c>
      <c r="M41" s="77">
        <f t="shared" si="33"/>
        <v>-127</v>
      </c>
      <c r="N41" s="77">
        <f t="shared" si="33"/>
        <v>3233</v>
      </c>
    </row>
    <row r="42" spans="1:17" x14ac:dyDescent="0.25">
      <c r="A42" s="119" t="s">
        <v>3</v>
      </c>
      <c r="B42" s="84">
        <v>2625</v>
      </c>
      <c r="C42" s="84">
        <v>2331</v>
      </c>
      <c r="D42" s="83">
        <v>2761</v>
      </c>
      <c r="E42" s="84">
        <v>2876</v>
      </c>
      <c r="J42" s="153" t="s">
        <v>3</v>
      </c>
      <c r="K42" s="77">
        <f t="shared" ref="K42:N52" si="34">-1*K23</f>
        <v>1689</v>
      </c>
      <c r="L42" s="77">
        <f t="shared" si="34"/>
        <v>2331</v>
      </c>
      <c r="M42" s="77">
        <f t="shared" si="34"/>
        <v>2761</v>
      </c>
      <c r="N42" s="77">
        <f t="shared" si="34"/>
        <v>5762</v>
      </c>
    </row>
    <row r="43" spans="1:17" x14ac:dyDescent="0.25">
      <c r="A43" s="119" t="s">
        <v>4</v>
      </c>
      <c r="B43" s="84">
        <v>3760</v>
      </c>
      <c r="C43" s="84">
        <v>2736</v>
      </c>
      <c r="D43" s="83">
        <v>2742</v>
      </c>
      <c r="E43" s="84">
        <v>2912</v>
      </c>
      <c r="J43" s="153" t="s">
        <v>4</v>
      </c>
      <c r="K43" s="77">
        <f t="shared" si="34"/>
        <v>3760</v>
      </c>
      <c r="L43" s="77">
        <f t="shared" si="34"/>
        <v>2736</v>
      </c>
      <c r="M43" s="77">
        <f t="shared" si="34"/>
        <v>2742</v>
      </c>
      <c r="N43" s="77">
        <f t="shared" si="34"/>
        <v>5602</v>
      </c>
    </row>
    <row r="44" spans="1:17" x14ac:dyDescent="0.25">
      <c r="A44" s="119" t="s">
        <v>5</v>
      </c>
      <c r="B44" s="84">
        <v>5509</v>
      </c>
      <c r="C44" s="84">
        <v>5503</v>
      </c>
      <c r="D44" s="83">
        <v>5518</v>
      </c>
      <c r="E44" s="84">
        <v>6494</v>
      </c>
      <c r="J44" s="153" t="s">
        <v>5</v>
      </c>
      <c r="K44" s="77">
        <f t="shared" si="34"/>
        <v>5509</v>
      </c>
      <c r="L44" s="77">
        <f t="shared" si="34"/>
        <v>5503</v>
      </c>
      <c r="M44" s="77">
        <f t="shared" si="34"/>
        <v>5518</v>
      </c>
      <c r="N44" s="77">
        <f t="shared" si="34"/>
        <v>4722</v>
      </c>
    </row>
    <row r="45" spans="1:17" x14ac:dyDescent="0.25">
      <c r="A45" s="119" t="s">
        <v>6</v>
      </c>
      <c r="B45" s="84">
        <v>9066</v>
      </c>
      <c r="C45" s="84">
        <v>7408</v>
      </c>
      <c r="D45" s="84">
        <v>6463</v>
      </c>
      <c r="E45" s="84">
        <v>5920</v>
      </c>
      <c r="J45" s="153" t="s">
        <v>6</v>
      </c>
      <c r="K45" s="77">
        <f t="shared" si="34"/>
        <v>9066</v>
      </c>
      <c r="L45" s="77">
        <f t="shared" si="34"/>
        <v>7408</v>
      </c>
      <c r="M45" s="77">
        <f t="shared" si="34"/>
        <v>7567</v>
      </c>
      <c r="N45" s="77">
        <f t="shared" si="34"/>
        <v>4743</v>
      </c>
    </row>
    <row r="46" spans="1:17" x14ac:dyDescent="0.25">
      <c r="A46" s="119" t="s">
        <v>7</v>
      </c>
      <c r="B46" s="84">
        <v>8806</v>
      </c>
      <c r="C46" s="84">
        <v>8999</v>
      </c>
      <c r="D46" s="84">
        <v>8960</v>
      </c>
      <c r="E46" s="84">
        <v>8872</v>
      </c>
      <c r="J46" s="153" t="s">
        <v>7</v>
      </c>
      <c r="K46" s="77">
        <f t="shared" si="34"/>
        <v>8806</v>
      </c>
      <c r="L46" s="77">
        <f t="shared" si="34"/>
        <v>8999</v>
      </c>
      <c r="M46" s="77">
        <f t="shared" si="34"/>
        <v>-4124</v>
      </c>
      <c r="N46" s="77">
        <f t="shared" si="34"/>
        <v>-3814</v>
      </c>
    </row>
    <row r="47" spans="1:17" x14ac:dyDescent="0.25">
      <c r="A47" s="119" t="s">
        <v>8</v>
      </c>
      <c r="B47" s="84">
        <v>11553</v>
      </c>
      <c r="C47" s="84">
        <v>15288</v>
      </c>
      <c r="D47" s="84">
        <v>16513</v>
      </c>
      <c r="E47" s="84">
        <v>17579</v>
      </c>
      <c r="J47" s="153" t="s">
        <v>8</v>
      </c>
      <c r="K47" s="77">
        <f t="shared" si="34"/>
        <v>14942</v>
      </c>
      <c r="L47" s="77">
        <f t="shared" si="34"/>
        <v>15288</v>
      </c>
      <c r="M47" s="77">
        <f t="shared" si="34"/>
        <v>10778</v>
      </c>
      <c r="N47" s="77">
        <f t="shared" si="34"/>
        <v>6174</v>
      </c>
    </row>
    <row r="48" spans="1:17" x14ac:dyDescent="0.25">
      <c r="A48" s="119" t="s">
        <v>9</v>
      </c>
      <c r="B48" s="84">
        <v>21986</v>
      </c>
      <c r="C48" s="84">
        <v>21513</v>
      </c>
      <c r="D48" s="84">
        <v>20573</v>
      </c>
      <c r="E48" s="84">
        <v>22914</v>
      </c>
      <c r="J48" s="153" t="s">
        <v>9</v>
      </c>
      <c r="K48" s="77">
        <f t="shared" si="34"/>
        <v>32834</v>
      </c>
      <c r="L48" s="77">
        <f t="shared" si="34"/>
        <v>21513</v>
      </c>
      <c r="M48" s="77">
        <f t="shared" si="34"/>
        <v>6936</v>
      </c>
      <c r="N48" s="77">
        <f t="shared" si="34"/>
        <v>7269</v>
      </c>
    </row>
    <row r="49" spans="1:14" x14ac:dyDescent="0.25">
      <c r="A49" s="119" t="s">
        <v>10</v>
      </c>
      <c r="B49" s="84">
        <v>10049</v>
      </c>
      <c r="C49" s="84">
        <v>9428</v>
      </c>
      <c r="D49" s="84">
        <v>9330</v>
      </c>
      <c r="E49" s="84">
        <v>9366</v>
      </c>
      <c r="J49" s="153" t="s">
        <v>10</v>
      </c>
      <c r="K49" s="77">
        <f t="shared" si="34"/>
        <v>10049</v>
      </c>
      <c r="L49" s="77">
        <f t="shared" si="34"/>
        <v>9428</v>
      </c>
      <c r="M49" s="77">
        <f t="shared" si="34"/>
        <v>-4886</v>
      </c>
      <c r="N49" s="77">
        <f t="shared" si="34"/>
        <v>-5708</v>
      </c>
    </row>
    <row r="50" spans="1:14" x14ac:dyDescent="0.25">
      <c r="A50" s="119" t="s">
        <v>11</v>
      </c>
      <c r="B50" s="84">
        <v>6593</v>
      </c>
      <c r="C50" s="84">
        <v>6916</v>
      </c>
      <c r="D50" s="84">
        <v>7467</v>
      </c>
      <c r="E50" s="84">
        <v>6802</v>
      </c>
      <c r="J50" s="153" t="s">
        <v>11</v>
      </c>
      <c r="K50" s="77">
        <f t="shared" si="34"/>
        <v>6593</v>
      </c>
      <c r="L50" s="77">
        <f t="shared" si="34"/>
        <v>6916</v>
      </c>
      <c r="M50" s="77">
        <f t="shared" si="34"/>
        <v>-27335</v>
      </c>
      <c r="N50" s="77">
        <f t="shared" si="34"/>
        <v>1039</v>
      </c>
    </row>
    <row r="51" spans="1:14" x14ac:dyDescent="0.25">
      <c r="A51" s="119" t="s">
        <v>12</v>
      </c>
      <c r="B51" s="84">
        <v>2674</v>
      </c>
      <c r="C51" s="84">
        <v>2345</v>
      </c>
      <c r="D51" s="84">
        <v>3880</v>
      </c>
      <c r="E51" s="84"/>
      <c r="J51" s="153" t="s">
        <v>12</v>
      </c>
      <c r="K51" s="77">
        <f t="shared" si="34"/>
        <v>2674</v>
      </c>
      <c r="L51" s="77">
        <f t="shared" si="34"/>
        <v>2345</v>
      </c>
      <c r="M51" s="77">
        <f t="shared" si="34"/>
        <v>-7959</v>
      </c>
      <c r="N51" s="77"/>
    </row>
    <row r="52" spans="1:14" ht="15.75" thickBot="1" x14ac:dyDescent="0.3">
      <c r="A52" s="119" t="s">
        <v>13</v>
      </c>
      <c r="B52" s="133">
        <v>3072</v>
      </c>
      <c r="C52" s="133">
        <v>3466</v>
      </c>
      <c r="D52" s="133">
        <v>4253</v>
      </c>
      <c r="E52" s="133"/>
      <c r="J52" s="168" t="s">
        <v>13</v>
      </c>
      <c r="K52" s="43">
        <f t="shared" si="34"/>
        <v>3072</v>
      </c>
      <c r="L52" s="43">
        <f t="shared" si="34"/>
        <v>3466</v>
      </c>
      <c r="M52" s="43">
        <f t="shared" si="34"/>
        <v>-24352</v>
      </c>
      <c r="N52" s="43"/>
    </row>
    <row r="53" spans="1:14" ht="16.5" thickTop="1" thickBot="1" x14ac:dyDescent="0.3">
      <c r="A53" s="128" t="s">
        <v>0</v>
      </c>
      <c r="B53" s="129">
        <f t="shared" ref="B53:D53" si="35">SUM(B41:B52)</f>
        <v>87006</v>
      </c>
      <c r="C53" s="129">
        <f t="shared" si="35"/>
        <v>88295</v>
      </c>
      <c r="D53" s="129">
        <f t="shared" si="35"/>
        <v>90229</v>
      </c>
      <c r="E53" s="129">
        <f>SUM(E41:E52)</f>
        <v>86220</v>
      </c>
      <c r="J53" s="169" t="s">
        <v>0</v>
      </c>
      <c r="K53" s="170">
        <f>SUM(K41:K52)</f>
        <v>100307</v>
      </c>
      <c r="L53" s="170">
        <f>SUM(L41:L52)</f>
        <v>88295</v>
      </c>
      <c r="M53" s="170">
        <f>SUM(M41:M52)</f>
        <v>-32481</v>
      </c>
      <c r="N53" s="170">
        <f>SUM(N41:N52)</f>
        <v>29022</v>
      </c>
    </row>
    <row r="54" spans="1:14" ht="15.75" thickTop="1" x14ac:dyDescent="0.25">
      <c r="A54" s="1" t="s">
        <v>14</v>
      </c>
      <c r="B54" s="1"/>
      <c r="C54" s="1"/>
      <c r="D54" s="1"/>
      <c r="E54" s="1"/>
      <c r="F54" s="1"/>
    </row>
    <row r="55" spans="1:14" ht="15.75" thickBot="1" x14ac:dyDescent="0.3"/>
    <row r="56" spans="1:14" ht="17.25" thickTop="1" thickBot="1" x14ac:dyDescent="0.3">
      <c r="A56" s="140" t="s">
        <v>78</v>
      </c>
      <c r="B56" s="141"/>
      <c r="C56" s="141"/>
      <c r="D56" s="141"/>
      <c r="E56" s="141"/>
    </row>
    <row r="57" spans="1:14" ht="16.5" thickTop="1" x14ac:dyDescent="0.25">
      <c r="A57" s="124"/>
      <c r="B57" s="125">
        <v>2014</v>
      </c>
      <c r="C57" s="125">
        <v>2015</v>
      </c>
      <c r="D57" s="125">
        <v>2016</v>
      </c>
      <c r="E57" s="125">
        <v>2017</v>
      </c>
    </row>
    <row r="58" spans="1:14" x14ac:dyDescent="0.25">
      <c r="A58" s="119" t="s">
        <v>2</v>
      </c>
      <c r="B58" s="84">
        <f t="shared" ref="B58:E69" si="36">B22+B41</f>
        <v>1313</v>
      </c>
      <c r="C58" s="84">
        <f t="shared" si="36"/>
        <v>2362</v>
      </c>
      <c r="D58" s="84">
        <f t="shared" si="36"/>
        <v>1769</v>
      </c>
      <c r="E58" s="84">
        <f t="shared" si="36"/>
        <v>3569</v>
      </c>
      <c r="I58" s="123"/>
    </row>
    <row r="59" spans="1:14" x14ac:dyDescent="0.25">
      <c r="A59" s="119" t="s">
        <v>3</v>
      </c>
      <c r="B59" s="84">
        <f t="shared" si="36"/>
        <v>2749</v>
      </c>
      <c r="C59" s="84">
        <f t="shared" si="36"/>
        <v>2331</v>
      </c>
      <c r="D59" s="84">
        <f t="shared" si="36"/>
        <v>2761</v>
      </c>
      <c r="E59" s="84">
        <f t="shared" si="36"/>
        <v>3741</v>
      </c>
    </row>
    <row r="60" spans="1:14" x14ac:dyDescent="0.25">
      <c r="A60" s="119" t="s">
        <v>4</v>
      </c>
      <c r="B60" s="84">
        <f t="shared" si="36"/>
        <v>3760</v>
      </c>
      <c r="C60" s="84">
        <f t="shared" si="36"/>
        <v>2736</v>
      </c>
      <c r="D60" s="84">
        <f t="shared" si="36"/>
        <v>2742</v>
      </c>
      <c r="E60" s="84">
        <f t="shared" si="36"/>
        <v>3956</v>
      </c>
    </row>
    <row r="61" spans="1:14" x14ac:dyDescent="0.25">
      <c r="A61" s="119" t="s">
        <v>5</v>
      </c>
      <c r="B61" s="84">
        <f t="shared" si="36"/>
        <v>5509</v>
      </c>
      <c r="C61" s="84">
        <f t="shared" si="36"/>
        <v>5503</v>
      </c>
      <c r="D61" s="84">
        <f t="shared" si="36"/>
        <v>5518</v>
      </c>
      <c r="E61" s="84">
        <f t="shared" si="36"/>
        <v>7380</v>
      </c>
    </row>
    <row r="62" spans="1:14" x14ac:dyDescent="0.25">
      <c r="A62" s="119" t="s">
        <v>6</v>
      </c>
      <c r="B62" s="84">
        <f t="shared" si="36"/>
        <v>9066</v>
      </c>
      <c r="C62" s="84">
        <f t="shared" si="36"/>
        <v>7408</v>
      </c>
      <c r="D62" s="84">
        <f t="shared" si="36"/>
        <v>6463</v>
      </c>
      <c r="E62" s="84">
        <f t="shared" si="36"/>
        <v>7059</v>
      </c>
    </row>
    <row r="63" spans="1:14" x14ac:dyDescent="0.25">
      <c r="A63" s="119" t="s">
        <v>7</v>
      </c>
      <c r="B63" s="84">
        <f t="shared" si="36"/>
        <v>8806</v>
      </c>
      <c r="C63" s="84">
        <f t="shared" si="36"/>
        <v>8999</v>
      </c>
      <c r="D63" s="84">
        <f t="shared" si="36"/>
        <v>10456</v>
      </c>
      <c r="E63" s="84">
        <f t="shared" si="36"/>
        <v>10219</v>
      </c>
    </row>
    <row r="64" spans="1:14" x14ac:dyDescent="0.25">
      <c r="A64" s="119" t="s">
        <v>8</v>
      </c>
      <c r="B64" s="84">
        <f t="shared" si="36"/>
        <v>14942</v>
      </c>
      <c r="C64" s="84">
        <f t="shared" si="36"/>
        <v>15288</v>
      </c>
      <c r="D64" s="84">
        <f t="shared" si="36"/>
        <v>17437</v>
      </c>
      <c r="E64" s="84">
        <f t="shared" si="36"/>
        <v>21778</v>
      </c>
    </row>
    <row r="65" spans="1:12" x14ac:dyDescent="0.25">
      <c r="A65" s="119" t="s">
        <v>9</v>
      </c>
      <c r="B65" s="84">
        <f t="shared" si="36"/>
        <v>32834</v>
      </c>
      <c r="C65" s="84">
        <f t="shared" si="36"/>
        <v>21513</v>
      </c>
      <c r="D65" s="84">
        <f t="shared" si="36"/>
        <v>20932</v>
      </c>
      <c r="E65" s="84">
        <f t="shared" si="36"/>
        <v>22914</v>
      </c>
      <c r="J65" s="127"/>
    </row>
    <row r="66" spans="1:12" x14ac:dyDescent="0.25">
      <c r="A66" s="119" t="s">
        <v>10</v>
      </c>
      <c r="B66" s="84">
        <f t="shared" si="36"/>
        <v>10049</v>
      </c>
      <c r="C66" s="84">
        <f t="shared" si="36"/>
        <v>9428</v>
      </c>
      <c r="D66" s="84">
        <f t="shared" si="36"/>
        <v>10727</v>
      </c>
      <c r="E66" s="84">
        <f t="shared" si="36"/>
        <v>12594</v>
      </c>
      <c r="I66" s="127"/>
      <c r="J66" s="127"/>
      <c r="K66" s="122"/>
      <c r="L66" s="131"/>
    </row>
    <row r="67" spans="1:12" x14ac:dyDescent="0.25">
      <c r="A67" s="119" t="s">
        <v>11</v>
      </c>
      <c r="B67" s="84">
        <f t="shared" si="36"/>
        <v>6593</v>
      </c>
      <c r="C67" s="84">
        <f t="shared" si="36"/>
        <v>6916</v>
      </c>
      <c r="D67" s="84">
        <f t="shared" si="36"/>
        <v>16724</v>
      </c>
      <c r="E67" s="84">
        <f t="shared" si="36"/>
        <v>8530</v>
      </c>
      <c r="I67" s="127"/>
      <c r="J67" s="127"/>
      <c r="K67" s="122"/>
    </row>
    <row r="68" spans="1:12" x14ac:dyDescent="0.25">
      <c r="A68" s="119" t="s">
        <v>12</v>
      </c>
      <c r="B68" s="84">
        <f t="shared" si="36"/>
        <v>2674</v>
      </c>
      <c r="C68" s="84">
        <f t="shared" si="36"/>
        <v>2345</v>
      </c>
      <c r="D68" s="84">
        <f t="shared" si="36"/>
        <v>4822</v>
      </c>
      <c r="E68" s="84">
        <f t="shared" si="36"/>
        <v>0</v>
      </c>
    </row>
    <row r="69" spans="1:12" ht="15.75" thickBot="1" x14ac:dyDescent="0.3">
      <c r="A69" s="119" t="s">
        <v>13</v>
      </c>
      <c r="B69" s="84">
        <f t="shared" si="36"/>
        <v>3072</v>
      </c>
      <c r="C69" s="84">
        <f t="shared" si="36"/>
        <v>3466</v>
      </c>
      <c r="D69" s="84">
        <f t="shared" si="36"/>
        <v>7918</v>
      </c>
      <c r="E69" s="84">
        <f t="shared" si="36"/>
        <v>0</v>
      </c>
    </row>
    <row r="70" spans="1:12" ht="16.5" thickTop="1" thickBot="1" x14ac:dyDescent="0.3">
      <c r="A70" s="128" t="s">
        <v>0</v>
      </c>
      <c r="B70" s="129">
        <f t="shared" ref="B70:D70" si="37">SUM(B58:B69)</f>
        <v>101367</v>
      </c>
      <c r="C70" s="129">
        <f t="shared" si="37"/>
        <v>88295</v>
      </c>
      <c r="D70" s="129">
        <f t="shared" si="37"/>
        <v>108269</v>
      </c>
      <c r="E70" s="129">
        <f>SUM(E58:E69)</f>
        <v>101740</v>
      </c>
    </row>
    <row r="71" spans="1:12" ht="16.5" thickTop="1" thickBot="1" x14ac:dyDescent="0.3"/>
    <row r="72" spans="1:12" ht="17.25" thickTop="1" thickBot="1" x14ac:dyDescent="0.3">
      <c r="A72" s="140" t="s">
        <v>122</v>
      </c>
      <c r="B72" s="141"/>
      <c r="C72" s="141"/>
      <c r="D72" s="141"/>
      <c r="E72" s="141"/>
    </row>
    <row r="73" spans="1:12" ht="16.5" thickTop="1" x14ac:dyDescent="0.25">
      <c r="A73" s="124"/>
      <c r="B73" s="125">
        <v>2014</v>
      </c>
      <c r="C73" s="125">
        <v>2015</v>
      </c>
      <c r="D73" s="125">
        <v>2016</v>
      </c>
      <c r="E73" s="125">
        <v>2017</v>
      </c>
    </row>
    <row r="74" spans="1:12" x14ac:dyDescent="0.25">
      <c r="A74" s="119" t="s">
        <v>2</v>
      </c>
      <c r="B74" s="134"/>
      <c r="C74" s="134"/>
      <c r="D74" s="84"/>
      <c r="E74" s="84">
        <v>1560</v>
      </c>
    </row>
    <row r="75" spans="1:12" x14ac:dyDescent="0.25">
      <c r="A75" s="119" t="s">
        <v>3</v>
      </c>
      <c r="B75" s="134"/>
      <c r="C75" s="134"/>
      <c r="D75" s="84"/>
      <c r="E75" s="84">
        <v>2021</v>
      </c>
    </row>
    <row r="76" spans="1:12" x14ac:dyDescent="0.25">
      <c r="A76" s="119" t="s">
        <v>4</v>
      </c>
      <c r="B76" s="134"/>
      <c r="C76" s="134"/>
      <c r="D76" s="84"/>
      <c r="E76" s="84">
        <v>1646</v>
      </c>
    </row>
    <row r="77" spans="1:12" x14ac:dyDescent="0.25">
      <c r="A77" s="119" t="s">
        <v>5</v>
      </c>
      <c r="B77" s="134"/>
      <c r="C77" s="134"/>
      <c r="D77" s="84"/>
      <c r="E77" s="84">
        <v>3207</v>
      </c>
    </row>
    <row r="78" spans="1:12" x14ac:dyDescent="0.25">
      <c r="A78" s="119" t="s">
        <v>6</v>
      </c>
      <c r="B78" s="134"/>
      <c r="C78" s="134"/>
      <c r="D78" s="84">
        <v>1104</v>
      </c>
      <c r="E78" s="84">
        <v>1684</v>
      </c>
    </row>
    <row r="79" spans="1:12" x14ac:dyDescent="0.25">
      <c r="A79" s="119" t="s">
        <v>7</v>
      </c>
      <c r="B79" s="134"/>
      <c r="C79" s="134"/>
      <c r="D79" s="84">
        <v>7722</v>
      </c>
      <c r="E79" s="84">
        <v>8267</v>
      </c>
    </row>
    <row r="80" spans="1:12" x14ac:dyDescent="0.25">
      <c r="A80" s="119" t="s">
        <v>8</v>
      </c>
      <c r="B80" s="134"/>
      <c r="C80" s="134"/>
      <c r="D80" s="84">
        <v>11504</v>
      </c>
      <c r="E80" s="84">
        <v>10186</v>
      </c>
    </row>
    <row r="81" spans="1:5" x14ac:dyDescent="0.25">
      <c r="A81" s="119" t="s">
        <v>9</v>
      </c>
      <c r="B81" s="134"/>
      <c r="C81" s="134"/>
      <c r="D81" s="84">
        <v>13456</v>
      </c>
      <c r="E81" s="84">
        <v>9852</v>
      </c>
    </row>
    <row r="82" spans="1:5" x14ac:dyDescent="0.25">
      <c r="A82" s="119" t="s">
        <v>10</v>
      </c>
      <c r="B82" s="134"/>
      <c r="C82" s="134"/>
      <c r="D82" s="84">
        <v>4641</v>
      </c>
      <c r="E82" s="84">
        <v>3891</v>
      </c>
    </row>
    <row r="83" spans="1:5" x14ac:dyDescent="0.25">
      <c r="A83" s="119" t="s">
        <v>11</v>
      </c>
      <c r="B83" s="134"/>
      <c r="C83" s="134"/>
      <c r="D83" s="118">
        <v>129</v>
      </c>
      <c r="E83" s="118">
        <v>270</v>
      </c>
    </row>
    <row r="84" spans="1:5" x14ac:dyDescent="0.25">
      <c r="A84" s="119" t="s">
        <v>12</v>
      </c>
      <c r="B84" s="134"/>
      <c r="C84" s="134"/>
      <c r="D84" s="118">
        <v>475</v>
      </c>
      <c r="E84" s="84"/>
    </row>
    <row r="85" spans="1:5" ht="15.75" thickBot="1" x14ac:dyDescent="0.3">
      <c r="A85" s="119" t="s">
        <v>13</v>
      </c>
      <c r="B85" s="134"/>
      <c r="C85" s="134"/>
      <c r="D85" s="157">
        <v>611</v>
      </c>
      <c r="E85" s="114"/>
    </row>
    <row r="86" spans="1:5" ht="16.5" thickTop="1" thickBot="1" x14ac:dyDescent="0.3">
      <c r="A86" s="128" t="s">
        <v>0</v>
      </c>
      <c r="B86" s="129">
        <f t="shared" ref="B86:D86" si="38">SUM(B74:B85)</f>
        <v>0</v>
      </c>
      <c r="C86" s="129">
        <f t="shared" si="38"/>
        <v>0</v>
      </c>
      <c r="D86" s="137">
        <f t="shared" si="38"/>
        <v>39642</v>
      </c>
      <c r="E86" s="137">
        <f>SUM(E74:E85)</f>
        <v>42584</v>
      </c>
    </row>
    <row r="87" spans="1:5" ht="16.5" thickTop="1" thickBot="1" x14ac:dyDescent="0.3"/>
    <row r="88" spans="1:5" ht="17.25" thickTop="1" thickBot="1" x14ac:dyDescent="0.3">
      <c r="A88" s="140" t="s">
        <v>123</v>
      </c>
      <c r="B88" s="141"/>
      <c r="C88" s="141"/>
      <c r="D88" s="141"/>
      <c r="E88" s="141"/>
    </row>
    <row r="89" spans="1:5" ht="16.5" thickTop="1" x14ac:dyDescent="0.25">
      <c r="A89" s="124"/>
      <c r="B89" s="125">
        <v>2014</v>
      </c>
      <c r="C89" s="125">
        <v>2015</v>
      </c>
      <c r="D89" s="125">
        <v>2016</v>
      </c>
      <c r="E89" s="125">
        <v>2017</v>
      </c>
    </row>
    <row r="90" spans="1:5" x14ac:dyDescent="0.25">
      <c r="A90" s="119" t="s">
        <v>2</v>
      </c>
      <c r="B90" s="77">
        <f>B58+B74</f>
        <v>1313</v>
      </c>
      <c r="C90" s="77">
        <f t="shared" ref="C90:E90" si="39">C58+C74</f>
        <v>2362</v>
      </c>
      <c r="D90" s="77">
        <f t="shared" si="39"/>
        <v>1769</v>
      </c>
      <c r="E90" s="77">
        <f t="shared" si="39"/>
        <v>5129</v>
      </c>
    </row>
    <row r="91" spans="1:5" x14ac:dyDescent="0.25">
      <c r="A91" s="119" t="s">
        <v>3</v>
      </c>
      <c r="B91" s="77">
        <f t="shared" ref="B91:E101" si="40">B59+B75</f>
        <v>2749</v>
      </c>
      <c r="C91" s="77">
        <f t="shared" si="40"/>
        <v>2331</v>
      </c>
      <c r="D91" s="77">
        <f t="shared" si="40"/>
        <v>2761</v>
      </c>
      <c r="E91" s="77">
        <f t="shared" si="40"/>
        <v>5762</v>
      </c>
    </row>
    <row r="92" spans="1:5" x14ac:dyDescent="0.25">
      <c r="A92" s="119" t="s">
        <v>4</v>
      </c>
      <c r="B92" s="77">
        <f t="shared" si="40"/>
        <v>3760</v>
      </c>
      <c r="C92" s="77">
        <f t="shared" si="40"/>
        <v>2736</v>
      </c>
      <c r="D92" s="77">
        <f t="shared" si="40"/>
        <v>2742</v>
      </c>
      <c r="E92" s="77">
        <f t="shared" si="40"/>
        <v>5602</v>
      </c>
    </row>
    <row r="93" spans="1:5" x14ac:dyDescent="0.25">
      <c r="A93" s="119" t="s">
        <v>5</v>
      </c>
      <c r="B93" s="77">
        <f t="shared" si="40"/>
        <v>5509</v>
      </c>
      <c r="C93" s="77">
        <f t="shared" si="40"/>
        <v>5503</v>
      </c>
      <c r="D93" s="77">
        <f t="shared" si="40"/>
        <v>5518</v>
      </c>
      <c r="E93" s="77">
        <f t="shared" si="40"/>
        <v>10587</v>
      </c>
    </row>
    <row r="94" spans="1:5" x14ac:dyDescent="0.25">
      <c r="A94" s="119" t="s">
        <v>6</v>
      </c>
      <c r="B94" s="77">
        <f t="shared" si="40"/>
        <v>9066</v>
      </c>
      <c r="C94" s="77">
        <f t="shared" si="40"/>
        <v>7408</v>
      </c>
      <c r="D94" s="77">
        <f t="shared" si="40"/>
        <v>7567</v>
      </c>
      <c r="E94" s="77">
        <f t="shared" si="40"/>
        <v>8743</v>
      </c>
    </row>
    <row r="95" spans="1:5" x14ac:dyDescent="0.25">
      <c r="A95" s="119" t="s">
        <v>7</v>
      </c>
      <c r="B95" s="77">
        <f t="shared" si="40"/>
        <v>8806</v>
      </c>
      <c r="C95" s="77">
        <f t="shared" si="40"/>
        <v>8999</v>
      </c>
      <c r="D95" s="77">
        <f t="shared" si="40"/>
        <v>18178</v>
      </c>
      <c r="E95" s="77">
        <f t="shared" si="40"/>
        <v>18486</v>
      </c>
    </row>
    <row r="96" spans="1:5" x14ac:dyDescent="0.25">
      <c r="A96" s="119" t="s">
        <v>8</v>
      </c>
      <c r="B96" s="77">
        <f t="shared" si="40"/>
        <v>14942</v>
      </c>
      <c r="C96" s="77">
        <f t="shared" si="40"/>
        <v>15288</v>
      </c>
      <c r="D96" s="77">
        <f t="shared" si="40"/>
        <v>28941</v>
      </c>
      <c r="E96" s="77">
        <f t="shared" si="40"/>
        <v>31964</v>
      </c>
    </row>
    <row r="97" spans="1:8" x14ac:dyDescent="0.25">
      <c r="A97" s="119" t="s">
        <v>9</v>
      </c>
      <c r="B97" s="77">
        <f t="shared" si="40"/>
        <v>32834</v>
      </c>
      <c r="C97" s="77">
        <f t="shared" si="40"/>
        <v>21513</v>
      </c>
      <c r="D97" s="77">
        <f t="shared" si="40"/>
        <v>34388</v>
      </c>
      <c r="E97" s="77">
        <f t="shared" si="40"/>
        <v>32766</v>
      </c>
    </row>
    <row r="98" spans="1:8" x14ac:dyDescent="0.25">
      <c r="A98" s="119" t="s">
        <v>10</v>
      </c>
      <c r="B98" s="77">
        <f t="shared" si="40"/>
        <v>10049</v>
      </c>
      <c r="C98" s="77">
        <f t="shared" si="40"/>
        <v>9428</v>
      </c>
      <c r="D98" s="77">
        <f t="shared" si="40"/>
        <v>15368</v>
      </c>
      <c r="E98" s="77">
        <f t="shared" si="40"/>
        <v>16485</v>
      </c>
    </row>
    <row r="99" spans="1:8" x14ac:dyDescent="0.25">
      <c r="A99" s="119" t="s">
        <v>11</v>
      </c>
      <c r="B99" s="77">
        <f t="shared" si="40"/>
        <v>6593</v>
      </c>
      <c r="C99" s="77">
        <f t="shared" si="40"/>
        <v>6916</v>
      </c>
      <c r="D99" s="77">
        <f t="shared" si="40"/>
        <v>16853</v>
      </c>
      <c r="E99" s="77">
        <f t="shared" si="40"/>
        <v>8800</v>
      </c>
    </row>
    <row r="100" spans="1:8" x14ac:dyDescent="0.25">
      <c r="A100" s="119" t="s">
        <v>12</v>
      </c>
      <c r="B100" s="77">
        <f t="shared" si="40"/>
        <v>2674</v>
      </c>
      <c r="C100" s="77">
        <f t="shared" si="40"/>
        <v>2345</v>
      </c>
      <c r="D100" s="77">
        <f t="shared" si="40"/>
        <v>5297</v>
      </c>
      <c r="E100" s="77">
        <f t="shared" si="40"/>
        <v>0</v>
      </c>
    </row>
    <row r="101" spans="1:8" ht="15.75" thickBot="1" x14ac:dyDescent="0.3">
      <c r="A101" s="139" t="s">
        <v>13</v>
      </c>
      <c r="B101" s="43">
        <f t="shared" si="40"/>
        <v>3072</v>
      </c>
      <c r="C101" s="43">
        <f t="shared" si="40"/>
        <v>3466</v>
      </c>
      <c r="D101" s="43">
        <f t="shared" si="40"/>
        <v>8529</v>
      </c>
      <c r="E101" s="43">
        <f t="shared" si="40"/>
        <v>0</v>
      </c>
    </row>
    <row r="102" spans="1:8" ht="16.5" thickTop="1" thickBot="1" x14ac:dyDescent="0.3">
      <c r="A102" s="138" t="s">
        <v>0</v>
      </c>
      <c r="B102" s="137">
        <f t="shared" ref="B102:C102" si="41">SUM(B90:B101)</f>
        <v>101367</v>
      </c>
      <c r="C102" s="137">
        <f t="shared" si="41"/>
        <v>88295</v>
      </c>
      <c r="D102" s="137">
        <f>SUM(D90:D101)</f>
        <v>147911</v>
      </c>
      <c r="E102" s="137">
        <f>SUM(E90:E101)</f>
        <v>144324</v>
      </c>
    </row>
    <row r="103" spans="1:8" ht="16.5" thickTop="1" thickBot="1" x14ac:dyDescent="0.3"/>
    <row r="104" spans="1:8" ht="17.25" thickTop="1" thickBot="1" x14ac:dyDescent="0.3">
      <c r="A104" s="140" t="s">
        <v>127</v>
      </c>
      <c r="B104" s="142"/>
    </row>
    <row r="105" spans="1:8" ht="16.5" thickTop="1" x14ac:dyDescent="0.25">
      <c r="A105" s="124"/>
      <c r="B105" s="125">
        <v>2014</v>
      </c>
      <c r="C105" s="125">
        <v>2015</v>
      </c>
      <c r="D105" s="125">
        <v>2016</v>
      </c>
      <c r="E105" s="125">
        <v>2017</v>
      </c>
      <c r="F105" s="126" t="s">
        <v>1</v>
      </c>
      <c r="G105" s="117" t="s">
        <v>18</v>
      </c>
      <c r="H105" s="117" t="s">
        <v>17</v>
      </c>
    </row>
    <row r="106" spans="1:8" x14ac:dyDescent="0.25">
      <c r="A106" s="119" t="s">
        <v>2</v>
      </c>
      <c r="B106" s="77">
        <v>0</v>
      </c>
      <c r="C106" s="77">
        <v>0</v>
      </c>
      <c r="D106" s="77">
        <v>0</v>
      </c>
      <c r="E106" s="77"/>
      <c r="F106" s="127">
        <f t="shared" ref="F106:F117" si="42">AVERAGE(B106:E106)</f>
        <v>0</v>
      </c>
      <c r="G106" s="127">
        <f t="shared" ref="G106:G117" si="43">STDEVA(B106:E106)</f>
        <v>0</v>
      </c>
      <c r="H106" s="127">
        <f t="shared" ref="H106:H117" si="44">STDEVA(B106:E106)</f>
        <v>0</v>
      </c>
    </row>
    <row r="107" spans="1:8" x14ac:dyDescent="0.25">
      <c r="A107" s="119" t="s">
        <v>3</v>
      </c>
      <c r="B107" s="77">
        <v>0</v>
      </c>
      <c r="C107" s="77">
        <v>0</v>
      </c>
      <c r="D107" s="77">
        <v>0</v>
      </c>
      <c r="E107" s="77"/>
      <c r="F107" s="127">
        <f t="shared" si="42"/>
        <v>0</v>
      </c>
      <c r="G107" s="127">
        <f t="shared" si="43"/>
        <v>0</v>
      </c>
      <c r="H107" s="127">
        <f t="shared" si="44"/>
        <v>0</v>
      </c>
    </row>
    <row r="108" spans="1:8" x14ac:dyDescent="0.25">
      <c r="A108" s="119" t="s">
        <v>4</v>
      </c>
      <c r="B108" s="77">
        <v>0</v>
      </c>
      <c r="C108" s="77">
        <v>0</v>
      </c>
      <c r="D108" s="77">
        <v>0</v>
      </c>
      <c r="E108" s="77"/>
      <c r="F108" s="127">
        <f t="shared" si="42"/>
        <v>0</v>
      </c>
      <c r="G108" s="127">
        <f t="shared" si="43"/>
        <v>0</v>
      </c>
      <c r="H108" s="127">
        <f t="shared" si="44"/>
        <v>0</v>
      </c>
    </row>
    <row r="109" spans="1:8" x14ac:dyDescent="0.25">
      <c r="A109" s="119" t="s">
        <v>5</v>
      </c>
      <c r="B109" s="77">
        <v>0</v>
      </c>
      <c r="C109" s="77">
        <v>0</v>
      </c>
      <c r="D109" s="77">
        <v>0</v>
      </c>
      <c r="E109" s="77"/>
      <c r="F109" s="127">
        <f t="shared" si="42"/>
        <v>0</v>
      </c>
      <c r="G109" s="127">
        <f t="shared" si="43"/>
        <v>0</v>
      </c>
      <c r="H109" s="127">
        <f t="shared" si="44"/>
        <v>0</v>
      </c>
    </row>
    <row r="110" spans="1:8" x14ac:dyDescent="0.25">
      <c r="A110" s="119" t="s">
        <v>6</v>
      </c>
      <c r="B110" s="77">
        <v>0</v>
      </c>
      <c r="C110" s="77">
        <v>0</v>
      </c>
      <c r="D110" s="77">
        <v>0</v>
      </c>
      <c r="E110" s="77"/>
      <c r="F110" s="127">
        <f t="shared" si="42"/>
        <v>0</v>
      </c>
      <c r="G110" s="127">
        <f t="shared" si="43"/>
        <v>0</v>
      </c>
      <c r="H110" s="127">
        <f t="shared" si="44"/>
        <v>0</v>
      </c>
    </row>
    <row r="111" spans="1:8" x14ac:dyDescent="0.25">
      <c r="A111" s="119" t="s">
        <v>7</v>
      </c>
      <c r="B111" s="77">
        <v>0</v>
      </c>
      <c r="C111" s="77">
        <v>0</v>
      </c>
      <c r="D111" s="77">
        <v>14630</v>
      </c>
      <c r="E111" s="179">
        <f>AVERAGE(D111)</f>
        <v>14630</v>
      </c>
      <c r="F111" s="127">
        <f t="shared" si="42"/>
        <v>7315</v>
      </c>
      <c r="G111" s="127">
        <f t="shared" si="43"/>
        <v>8446.6344382442239</v>
      </c>
      <c r="H111" s="127">
        <f t="shared" si="44"/>
        <v>8446.6344382442239</v>
      </c>
    </row>
    <row r="112" spans="1:8" x14ac:dyDescent="0.25">
      <c r="A112" s="119" t="s">
        <v>8</v>
      </c>
      <c r="B112" s="77">
        <v>0</v>
      </c>
      <c r="C112" s="77">
        <v>0</v>
      </c>
      <c r="D112" s="77">
        <v>16208</v>
      </c>
      <c r="E112" s="179">
        <f t="shared" ref="E112:E117" si="45">AVERAGE(D112)</f>
        <v>16208</v>
      </c>
      <c r="F112" s="127">
        <f t="shared" si="42"/>
        <v>8104</v>
      </c>
      <c r="G112" s="127">
        <f t="shared" si="43"/>
        <v>9357.6931630254549</v>
      </c>
      <c r="H112" s="127">
        <f t="shared" si="44"/>
        <v>9357.6931630254549</v>
      </c>
    </row>
    <row r="113" spans="1:8" x14ac:dyDescent="0.25">
      <c r="A113" s="119" t="s">
        <v>9</v>
      </c>
      <c r="B113" s="77">
        <v>0</v>
      </c>
      <c r="C113" s="77">
        <v>0</v>
      </c>
      <c r="D113" s="77">
        <v>17997</v>
      </c>
      <c r="E113" s="179">
        <f t="shared" si="45"/>
        <v>17997</v>
      </c>
      <c r="F113" s="127">
        <f t="shared" si="42"/>
        <v>8998.5</v>
      </c>
      <c r="G113" s="127">
        <f t="shared" si="43"/>
        <v>10390.572794605694</v>
      </c>
      <c r="H113" s="127">
        <f t="shared" si="44"/>
        <v>10390.572794605694</v>
      </c>
    </row>
    <row r="114" spans="1:8" x14ac:dyDescent="0.25">
      <c r="A114" s="119" t="s">
        <v>10</v>
      </c>
      <c r="B114" s="77">
        <v>0</v>
      </c>
      <c r="C114" s="77">
        <v>0</v>
      </c>
      <c r="D114" s="77">
        <v>14523</v>
      </c>
      <c r="E114" s="179">
        <f t="shared" si="45"/>
        <v>14523</v>
      </c>
      <c r="F114" s="127">
        <f t="shared" si="42"/>
        <v>7261.5</v>
      </c>
      <c r="G114" s="127">
        <f t="shared" si="43"/>
        <v>8384.8579594409348</v>
      </c>
      <c r="H114" s="127">
        <f t="shared" si="44"/>
        <v>8384.8579594409348</v>
      </c>
    </row>
    <row r="115" spans="1:8" x14ac:dyDescent="0.25">
      <c r="A115" s="119" t="s">
        <v>11</v>
      </c>
      <c r="B115" s="77">
        <v>0</v>
      </c>
      <c r="C115" s="77">
        <v>0</v>
      </c>
      <c r="D115" s="77">
        <v>1896</v>
      </c>
      <c r="E115" s="179">
        <f t="shared" si="45"/>
        <v>1896</v>
      </c>
      <c r="F115" s="127">
        <f t="shared" si="42"/>
        <v>948</v>
      </c>
      <c r="G115" s="127">
        <f t="shared" si="43"/>
        <v>1094.6561103835304</v>
      </c>
      <c r="H115" s="127">
        <f t="shared" si="44"/>
        <v>1094.6561103835304</v>
      </c>
    </row>
    <row r="116" spans="1:8" x14ac:dyDescent="0.25">
      <c r="A116" s="119" t="s">
        <v>12</v>
      </c>
      <c r="B116" s="77">
        <v>0</v>
      </c>
      <c r="C116" s="77">
        <v>0</v>
      </c>
      <c r="D116" s="77">
        <v>11376</v>
      </c>
      <c r="E116" s="179">
        <f t="shared" si="45"/>
        <v>11376</v>
      </c>
      <c r="F116" s="127">
        <f t="shared" si="42"/>
        <v>5688</v>
      </c>
      <c r="G116" s="127">
        <f t="shared" si="43"/>
        <v>6567.9366623011829</v>
      </c>
      <c r="H116" s="127">
        <f t="shared" si="44"/>
        <v>6567.9366623011829</v>
      </c>
    </row>
    <row r="117" spans="1:8" ht="15.75" thickBot="1" x14ac:dyDescent="0.3">
      <c r="A117" s="139" t="s">
        <v>13</v>
      </c>
      <c r="B117" s="43">
        <v>0</v>
      </c>
      <c r="C117" s="43">
        <v>0</v>
      </c>
      <c r="D117" s="43">
        <v>11376</v>
      </c>
      <c r="E117" s="179">
        <f t="shared" si="45"/>
        <v>11376</v>
      </c>
      <c r="F117" s="127">
        <f t="shared" si="42"/>
        <v>5688</v>
      </c>
      <c r="G117" s="127">
        <f t="shared" si="43"/>
        <v>6567.9366623011829</v>
      </c>
      <c r="H117" s="127">
        <f t="shared" si="44"/>
        <v>6567.9366623011829</v>
      </c>
    </row>
    <row r="118" spans="1:8" ht="16.5" thickTop="1" thickBot="1" x14ac:dyDescent="0.3">
      <c r="A118" s="138" t="s">
        <v>0</v>
      </c>
      <c r="B118" s="137">
        <f t="shared" ref="B118:C118" si="46">SUM(B106:B117)</f>
        <v>0</v>
      </c>
      <c r="C118" s="137">
        <f t="shared" si="46"/>
        <v>0</v>
      </c>
      <c r="D118" s="137">
        <f>SUM(D106:D117)</f>
        <v>88006</v>
      </c>
      <c r="E118" s="137">
        <f t="shared" ref="E118" si="47">SUM(E106:E117)</f>
        <v>88006</v>
      </c>
    </row>
    <row r="119" spans="1:8" ht="15.75" thickTop="1" x14ac:dyDescent="0.25">
      <c r="A119" s="1" t="s">
        <v>132</v>
      </c>
      <c r="B119" s="1"/>
      <c r="F119" s="127"/>
    </row>
    <row r="120" spans="1:8" x14ac:dyDescent="0.25">
      <c r="A120" s="130" t="s">
        <v>15</v>
      </c>
      <c r="B120" s="127">
        <f t="shared" ref="B120:G120" si="48">AVERAGE(B106:B108,B115:B117)</f>
        <v>0</v>
      </c>
      <c r="C120" s="127">
        <f t="shared" si="48"/>
        <v>0</v>
      </c>
      <c r="D120" s="127">
        <f t="shared" si="48"/>
        <v>4108</v>
      </c>
      <c r="E120" s="127">
        <f t="shared" si="48"/>
        <v>8216</v>
      </c>
      <c r="F120" s="127">
        <f t="shared" si="48"/>
        <v>2054</v>
      </c>
      <c r="G120" s="127">
        <f t="shared" si="48"/>
        <v>2371.7549058309828</v>
      </c>
      <c r="H120" s="131"/>
    </row>
    <row r="121" spans="1:8" x14ac:dyDescent="0.25">
      <c r="A121" s="130" t="s">
        <v>16</v>
      </c>
      <c r="B121" s="127">
        <f t="shared" ref="B121:G121" si="49">AVERAGE(B109:B114)</f>
        <v>0</v>
      </c>
      <c r="C121" s="127">
        <f t="shared" si="49"/>
        <v>0</v>
      </c>
      <c r="D121" s="127">
        <f>AVERAGE(D109:D110)</f>
        <v>0</v>
      </c>
      <c r="E121" s="127">
        <f t="shared" si="49"/>
        <v>15839.5</v>
      </c>
      <c r="F121" s="127">
        <f t="shared" si="49"/>
        <v>5279.833333333333</v>
      </c>
      <c r="G121" s="127">
        <f t="shared" si="49"/>
        <v>6096.6263925527192</v>
      </c>
    </row>
  </sheetData>
  <mergeCells count="3">
    <mergeCell ref="A35:F35"/>
    <mergeCell ref="A54:F54"/>
    <mergeCell ref="A119:B119"/>
  </mergeCells>
  <conditionalFormatting sqref="T3:X15">
    <cfRule type="cellIs" dxfId="22" priority="5" operator="greaterThan">
      <formula>1</formula>
    </cfRule>
  </conditionalFormatting>
  <conditionalFormatting sqref="K22:O34">
    <cfRule type="cellIs" dxfId="21" priority="4" operator="lessThan">
      <formula>0</formula>
    </cfRule>
  </conditionalFormatting>
  <conditionalFormatting sqref="K53:N53">
    <cfRule type="cellIs" dxfId="20" priority="3" operator="lessThan">
      <formula>0</formula>
    </cfRule>
  </conditionalFormatting>
  <conditionalFormatting sqref="K41:N52">
    <cfRule type="cellIs" dxfId="19" priority="2" operator="greaterThan">
      <formula>0</formula>
    </cfRule>
  </conditionalFormatting>
  <conditionalFormatting sqref="K41:N53">
    <cfRule type="cellIs" dxfId="18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31</vt:i4>
      </vt:variant>
    </vt:vector>
  </HeadingPairs>
  <TitlesOfParts>
    <vt:vector size="31" baseType="lpstr">
      <vt:lpstr>RESUME</vt:lpstr>
      <vt:lpstr>Générale</vt:lpstr>
      <vt:lpstr>PAX AJA TL+NI</vt:lpstr>
      <vt:lpstr>ROLL+VL AJA TL+NI </vt:lpstr>
      <vt:lpstr>PAX BAS TL+NI</vt:lpstr>
      <vt:lpstr>ROLL+VL BAS TL+NI</vt:lpstr>
      <vt:lpstr>PAX ILR TL+NI</vt:lpstr>
      <vt:lpstr>ROLL+VL ILR TL+NI</vt:lpstr>
      <vt:lpstr>PAX PVE TL+NI</vt:lpstr>
      <vt:lpstr>ROLL+VL PVE TL+NI </vt:lpstr>
      <vt:lpstr>PAX PRO TL</vt:lpstr>
      <vt:lpstr>ROLL PRO TL+NI</vt:lpstr>
      <vt:lpstr>Navires</vt:lpstr>
      <vt:lpstr>AJACCIO 2014</vt:lpstr>
      <vt:lpstr>BASTIA 2014</vt:lpstr>
      <vt:lpstr>ILE ROUSSE 2014</vt:lpstr>
      <vt:lpstr>CALVI 2014</vt:lpstr>
      <vt:lpstr>PORTO VECCHIO 2014</vt:lpstr>
      <vt:lpstr>AJACCIO 2015</vt:lpstr>
      <vt:lpstr>BASTIA 2015</vt:lpstr>
      <vt:lpstr>ILE ROUSSE 2015</vt:lpstr>
      <vt:lpstr>CALVI 2015</vt:lpstr>
      <vt:lpstr>AJACCIO 2016</vt:lpstr>
      <vt:lpstr>BASTIA 2016</vt:lpstr>
      <vt:lpstr>ILE ROUSSE 2016</vt:lpstr>
      <vt:lpstr>CALVI 2016</vt:lpstr>
      <vt:lpstr>PORTO VECCHIO 2016</vt:lpstr>
      <vt:lpstr>AJACCIO 2017</vt:lpstr>
      <vt:lpstr>BASTIA 2017</vt:lpstr>
      <vt:lpstr>ILE ROUSSE 2017</vt:lpstr>
      <vt:lpstr>PORTO VECCHIO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2018-04-04T10:16:39Z</dcterms:modified>
</cp:coreProperties>
</file>